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ggettplatt-my.sharepoint.com/personal/katelyn_pierce_leggett_com/Documents/Documents/IR/Q4 2025/"/>
    </mc:Choice>
  </mc:AlternateContent>
  <xr:revisionPtr revIDLastSave="6" documentId="8_{81167E5D-1183-4639-83A0-014DC5618690}" xr6:coauthVersionLast="47" xr6:coauthVersionMax="47" xr10:uidLastSave="{7190DD14-E13E-485D-8A6D-369096606992}"/>
  <bookViews>
    <workbookView xWindow="-120" yWindow="-120" windowWidth="29040" windowHeight="15720" tabRatio="756" activeTab="4" xr2:uid="{00000000-000D-0000-FFFF-FFFF00000000}"/>
  </bookViews>
  <sheets>
    <sheet name="Historical Data (2005-11)" sheetId="7" r:id="rId1"/>
    <sheet name="Historical Data (2012-14)" sheetId="3" r:id="rId2"/>
    <sheet name="Adj Hist Data (2012-14)" sheetId="4" r:id="rId3"/>
    <sheet name="Cont Ops (2015-" sheetId="8" r:id="rId4"/>
    <sheet name="Adj Cont Ops (2015-" sheetId="9" r:id="rId5"/>
  </sheets>
  <definedNames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39587.5493865741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4">'Adj Cont Ops (2015-'!$A$1:$BE$58</definedName>
    <definedName name="_xlnm.Print_Area" localSheetId="3">'Cont Ops (2015-'!$A$1:$BE$58</definedName>
    <definedName name="_xlnm.Print_Area" localSheetId="0">'Historical Data (2005-11)'!$A$1:$AH$49</definedName>
    <definedName name="_xlnm.Print_Area" localSheetId="1">'Historical Data (2012-14)'!$A$1:$Q$66</definedName>
    <definedName name="_xlnm.Print_Titles" localSheetId="4">'Adj Cont Ops (2015-'!$A:$B</definedName>
    <definedName name="_xlnm.Print_Titles" localSheetId="2">'Adj Hist Data (2012-14)'!$A:$B</definedName>
    <definedName name="_xlnm.Print_Titles" localSheetId="3">'Cont Ops (2015-'!$A:$B</definedName>
    <definedName name="_xlnm.Print_Titles" localSheetId="1">'Historical Data (2012-14)'!$A:$B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7" i="9" l="1"/>
  <c r="BD46" i="9"/>
  <c r="BD45" i="9"/>
  <c r="BD44" i="9"/>
  <c r="BD34" i="9"/>
  <c r="BD33" i="9"/>
  <c r="BD32" i="9"/>
  <c r="BD31" i="9"/>
  <c r="BD45" i="8"/>
  <c r="BD46" i="8"/>
  <c r="BD44" i="8"/>
  <c r="BD43" i="8"/>
  <c r="BC47" i="9" l="1"/>
  <c r="BC46" i="9"/>
  <c r="BC45" i="9"/>
  <c r="BC44" i="9"/>
  <c r="BC33" i="9"/>
  <c r="BC32" i="9"/>
  <c r="BC31" i="9"/>
  <c r="BE17" i="9"/>
  <c r="BC46" i="8" l="1"/>
  <c r="BC45" i="8"/>
  <c r="BC44" i="8"/>
  <c r="BC43" i="8"/>
  <c r="BE16" i="8" l="1"/>
  <c r="BE9" i="9" l="1"/>
  <c r="BE8" i="9"/>
  <c r="BB47" i="9"/>
  <c r="BB46" i="9"/>
  <c r="BB45" i="9"/>
  <c r="BB44" i="9"/>
  <c r="BB33" i="9"/>
  <c r="BB32" i="9"/>
  <c r="BB31" i="9"/>
  <c r="BB47" i="8"/>
  <c r="BB46" i="8"/>
  <c r="BB45" i="8"/>
  <c r="BB44" i="8"/>
  <c r="BB43" i="8"/>
  <c r="BA32" i="9" l="1"/>
  <c r="BA45" i="9" s="1"/>
  <c r="BA31" i="9"/>
  <c r="BA47" i="9"/>
  <c r="BA46" i="9"/>
  <c r="BA44" i="9"/>
  <c r="BA33" i="9"/>
  <c r="BA46" i="8"/>
  <c r="BA45" i="8"/>
  <c r="BA44" i="8"/>
  <c r="BA43" i="8"/>
  <c r="BA40" i="8"/>
  <c r="BD52" i="8" l="1"/>
  <c r="BC52" i="8"/>
  <c r="BB52" i="8"/>
  <c r="BA52" i="8"/>
  <c r="BD51" i="8"/>
  <c r="BC51" i="8"/>
  <c r="BB51" i="8"/>
  <c r="BA51" i="8"/>
  <c r="BD50" i="8"/>
  <c r="BC50" i="8"/>
  <c r="BB50" i="8"/>
  <c r="BD34" i="8"/>
  <c r="BC34" i="8"/>
  <c r="BB34" i="8"/>
  <c r="BA34" i="8"/>
  <c r="BE33" i="8"/>
  <c r="BE32" i="8"/>
  <c r="BE31" i="8"/>
  <c r="BE30" i="8"/>
  <c r="BD22" i="8"/>
  <c r="BC22" i="8"/>
  <c r="BB22" i="8"/>
  <c r="BA22" i="8"/>
  <c r="BE21" i="8"/>
  <c r="BE20" i="8"/>
  <c r="BE19" i="8"/>
  <c r="BD16" i="8"/>
  <c r="BC16" i="8"/>
  <c r="BB16" i="8"/>
  <c r="BA16" i="8"/>
  <c r="BD10" i="8"/>
  <c r="BC10" i="8"/>
  <c r="BB10" i="8"/>
  <c r="BA10" i="8"/>
  <c r="BE9" i="8"/>
  <c r="BE8" i="8"/>
  <c r="BE7" i="8"/>
  <c r="BD51" i="9"/>
  <c r="BD53" i="9"/>
  <c r="BD52" i="9"/>
  <c r="BC53" i="9"/>
  <c r="BC52" i="9"/>
  <c r="BA35" i="9"/>
  <c r="BB53" i="9"/>
  <c r="BE32" i="9"/>
  <c r="BE31" i="9"/>
  <c r="BD23" i="9"/>
  <c r="BC23" i="9"/>
  <c r="BB23" i="9"/>
  <c r="BA23" i="9"/>
  <c r="BE22" i="9"/>
  <c r="BE21" i="9"/>
  <c r="BE20" i="9"/>
  <c r="BD17" i="9"/>
  <c r="BC17" i="9"/>
  <c r="BB17" i="9"/>
  <c r="BA17" i="9"/>
  <c r="BD11" i="9"/>
  <c r="BC11" i="9"/>
  <c r="BB11" i="9"/>
  <c r="BA11" i="9"/>
  <c r="BE10" i="9"/>
  <c r="AY31" i="9"/>
  <c r="BE46" i="8" l="1"/>
  <c r="BA47" i="8"/>
  <c r="BA53" i="8" s="1"/>
  <c r="BC40" i="8"/>
  <c r="BE44" i="8"/>
  <c r="BE51" i="8" s="1"/>
  <c r="BB53" i="8"/>
  <c r="BC47" i="8"/>
  <c r="BC53" i="8" s="1"/>
  <c r="BD47" i="8"/>
  <c r="BD53" i="8" s="1"/>
  <c r="BE22" i="8"/>
  <c r="BE39" i="8"/>
  <c r="BE38" i="8"/>
  <c r="BE10" i="8"/>
  <c r="BB40" i="8"/>
  <c r="BE37" i="8"/>
  <c r="BA50" i="8"/>
  <c r="BE45" i="8"/>
  <c r="BE52" i="8" s="1"/>
  <c r="BE34" i="8"/>
  <c r="BE43" i="8"/>
  <c r="BE44" i="9"/>
  <c r="BE51" i="9" s="1"/>
  <c r="BE23" i="9"/>
  <c r="BE11" i="9"/>
  <c r="BE39" i="9"/>
  <c r="BA41" i="9"/>
  <c r="BE38" i="9"/>
  <c r="BE46" i="9"/>
  <c r="BE53" i="9" s="1"/>
  <c r="BE47" i="9"/>
  <c r="BB51" i="9"/>
  <c r="BC51" i="9"/>
  <c r="BC48" i="9"/>
  <c r="BC54" i="9" s="1"/>
  <c r="BD48" i="9"/>
  <c r="BD54" i="9" s="1"/>
  <c r="BA52" i="9"/>
  <c r="BB52" i="9"/>
  <c r="BE33" i="9"/>
  <c r="BE40" i="9" s="1"/>
  <c r="BA48" i="9"/>
  <c r="BA54" i="9" s="1"/>
  <c r="BA53" i="9"/>
  <c r="BE34" i="9"/>
  <c r="BC35" i="9"/>
  <c r="BC41" i="9" s="1"/>
  <c r="BA51" i="9"/>
  <c r="BB35" i="9"/>
  <c r="BB41" i="9" s="1"/>
  <c r="BD35" i="9"/>
  <c r="BD41" i="9" s="1"/>
  <c r="AY47" i="9"/>
  <c r="AY46" i="9"/>
  <c r="AY45" i="9"/>
  <c r="AY44" i="9"/>
  <c r="AY33" i="9"/>
  <c r="AY32" i="9"/>
  <c r="AY46" i="8"/>
  <c r="AY45" i="8"/>
  <c r="AY52" i="8" s="1"/>
  <c r="AY44" i="8"/>
  <c r="AY51" i="8" s="1"/>
  <c r="AY43" i="8"/>
  <c r="AY50" i="8" s="1"/>
  <c r="AX31" i="9"/>
  <c r="AX33" i="9"/>
  <c r="AX32" i="9"/>
  <c r="AX45" i="9" s="1"/>
  <c r="AX52" i="9" s="1"/>
  <c r="AX44" i="9"/>
  <c r="AX51" i="9" s="1"/>
  <c r="AX47" i="9"/>
  <c r="AX46" i="9"/>
  <c r="AX53" i="9" s="1"/>
  <c r="AX51" i="8"/>
  <c r="AX50" i="8"/>
  <c r="AX46" i="8"/>
  <c r="AX45" i="8"/>
  <c r="AX52" i="8" s="1"/>
  <c r="AX44" i="8"/>
  <c r="AX43" i="8"/>
  <c r="BE40" i="8" l="1"/>
  <c r="BE50" i="8"/>
  <c r="BE47" i="8"/>
  <c r="BE53" i="8" s="1"/>
  <c r="BE35" i="9"/>
  <c r="BE41" i="9" s="1"/>
  <c r="BB48" i="9"/>
  <c r="BB54" i="9" s="1"/>
  <c r="BE45" i="9"/>
  <c r="AZ33" i="8"/>
  <c r="AZ32" i="8"/>
  <c r="AZ31" i="8"/>
  <c r="AZ30" i="8"/>
  <c r="AZ37" i="8" s="1"/>
  <c r="AZ21" i="8"/>
  <c r="AZ20" i="8"/>
  <c r="AZ19" i="8"/>
  <c r="AZ16" i="8"/>
  <c r="AZ9" i="8"/>
  <c r="AZ8" i="8"/>
  <c r="AZ7" i="8"/>
  <c r="AW45" i="8"/>
  <c r="AW52" i="8" s="1"/>
  <c r="AW44" i="8"/>
  <c r="AW51" i="8" s="1"/>
  <c r="AW46" i="8"/>
  <c r="AW43" i="8"/>
  <c r="AW22" i="8"/>
  <c r="AW16" i="8"/>
  <c r="AW10" i="8"/>
  <c r="AW34" i="9"/>
  <c r="AW47" i="9" s="1"/>
  <c r="AW33" i="9"/>
  <c r="AW46" i="9" s="1"/>
  <c r="AW53" i="9" s="1"/>
  <c r="AW32" i="9"/>
  <c r="AW45" i="9" s="1"/>
  <c r="AW52" i="9" s="1"/>
  <c r="AW31" i="9"/>
  <c r="AW44" i="9" s="1"/>
  <c r="AW51" i="9" s="1"/>
  <c r="BE52" i="9" l="1"/>
  <c r="BE48" i="9"/>
  <c r="BE54" i="9" s="1"/>
  <c r="AZ34" i="8"/>
  <c r="AZ10" i="8"/>
  <c r="AZ40" i="8" s="1"/>
  <c r="AZ38" i="8"/>
  <c r="AZ39" i="8"/>
  <c r="AW50" i="8"/>
  <c r="AW47" i="8"/>
  <c r="AW53" i="8" s="1"/>
  <c r="AW34" i="8"/>
  <c r="AW40" i="8" s="1"/>
  <c r="AY48" i="9" l="1"/>
  <c r="AX48" i="9"/>
  <c r="AW48" i="9"/>
  <c r="AV47" i="9"/>
  <c r="AZ47" i="9" s="1"/>
  <c r="AV46" i="9"/>
  <c r="AV53" i="9" s="1"/>
  <c r="AV45" i="9"/>
  <c r="AZ45" i="9" s="1"/>
  <c r="AV44" i="9"/>
  <c r="AZ44" i="9" s="1"/>
  <c r="AY35" i="9"/>
  <c r="AX35" i="9"/>
  <c r="AW35" i="9"/>
  <c r="AV35" i="9"/>
  <c r="AZ34" i="9"/>
  <c r="AZ33" i="9"/>
  <c r="AZ32" i="9"/>
  <c r="AZ31" i="9"/>
  <c r="AY23" i="9"/>
  <c r="AX23" i="9"/>
  <c r="AW23" i="9"/>
  <c r="AV23" i="9"/>
  <c r="AZ22" i="9"/>
  <c r="AZ21" i="9"/>
  <c r="AZ20" i="9"/>
  <c r="AZ17" i="9"/>
  <c r="AY17" i="9"/>
  <c r="AX17" i="9"/>
  <c r="AW17" i="9"/>
  <c r="AV17" i="9"/>
  <c r="AY11" i="9"/>
  <c r="AX11" i="9"/>
  <c r="AW11" i="9"/>
  <c r="AV11" i="9"/>
  <c r="AZ10" i="9"/>
  <c r="AZ9" i="9"/>
  <c r="AZ8" i="9"/>
  <c r="AV46" i="8"/>
  <c r="AZ46" i="8" s="1"/>
  <c r="AV45" i="8"/>
  <c r="AV44" i="8"/>
  <c r="AV43" i="8"/>
  <c r="AY47" i="8"/>
  <c r="AY53" i="8" s="1"/>
  <c r="AX47" i="8"/>
  <c r="AY34" i="8"/>
  <c r="AX34" i="8"/>
  <c r="AX40" i="8" s="1"/>
  <c r="AV34" i="8"/>
  <c r="AV40" i="8" s="1"/>
  <c r="AY22" i="8"/>
  <c r="AX22" i="8"/>
  <c r="AV22" i="8"/>
  <c r="AY16" i="8"/>
  <c r="AX16" i="8"/>
  <c r="AV16" i="8"/>
  <c r="AY10" i="8"/>
  <c r="AX10" i="8"/>
  <c r="AV10" i="8"/>
  <c r="AT46" i="8"/>
  <c r="AT45" i="8"/>
  <c r="AT44" i="8"/>
  <c r="AT43" i="8"/>
  <c r="AS16" i="8"/>
  <c r="AT16" i="8"/>
  <c r="AU16" i="8"/>
  <c r="AT47" i="9"/>
  <c r="AT45" i="9"/>
  <c r="AT44" i="9"/>
  <c r="AT46" i="9"/>
  <c r="AT35" i="9"/>
  <c r="AT23" i="9"/>
  <c r="AT17" i="9"/>
  <c r="AT11" i="9"/>
  <c r="AT34" i="8"/>
  <c r="AT22" i="8"/>
  <c r="AT10" i="8"/>
  <c r="AZ22" i="8" l="1"/>
  <c r="AX53" i="8"/>
  <c r="AV50" i="8"/>
  <c r="AZ43" i="8"/>
  <c r="AV51" i="8"/>
  <c r="AZ44" i="8"/>
  <c r="AZ51" i="8" s="1"/>
  <c r="AV52" i="8"/>
  <c r="AZ45" i="8"/>
  <c r="AZ52" i="8" s="1"/>
  <c r="AX54" i="9"/>
  <c r="AZ46" i="9"/>
  <c r="AV51" i="9"/>
  <c r="AW54" i="9"/>
  <c r="AV41" i="9"/>
  <c r="AY41" i="9"/>
  <c r="AY40" i="8"/>
  <c r="AX41" i="9"/>
  <c r="AZ23" i="9"/>
  <c r="AZ40" i="9"/>
  <c r="AZ53" i="9"/>
  <c r="AZ11" i="9"/>
  <c r="AZ52" i="9"/>
  <c r="AZ39" i="9"/>
  <c r="AW41" i="9"/>
  <c r="AZ35" i="9"/>
  <c r="AZ48" i="9"/>
  <c r="AZ51" i="9"/>
  <c r="AV52" i="9"/>
  <c r="AZ38" i="9"/>
  <c r="AV48" i="9"/>
  <c r="AV54" i="9" s="1"/>
  <c r="AV47" i="8"/>
  <c r="AV53" i="8" s="1"/>
  <c r="AT47" i="8"/>
  <c r="AT48" i="9"/>
  <c r="AZ50" i="8" l="1"/>
  <c r="AZ47" i="8"/>
  <c r="AZ53" i="8" s="1"/>
  <c r="AZ41" i="9"/>
  <c r="AZ54" i="9"/>
  <c r="AR44" i="8"/>
  <c r="AS44" i="9" l="1"/>
  <c r="AS47" i="9"/>
  <c r="AS46" i="9"/>
  <c r="AS45" i="9"/>
  <c r="AS48" i="9"/>
  <c r="AS35" i="9"/>
  <c r="AS23" i="9"/>
  <c r="AS17" i="9"/>
  <c r="AS11" i="9"/>
  <c r="AS46" i="8"/>
  <c r="AS45" i="8"/>
  <c r="AS44" i="8"/>
  <c r="AS43" i="8"/>
  <c r="AS34" i="8"/>
  <c r="AS22" i="8"/>
  <c r="AS47" i="8" l="1"/>
  <c r="AS10" i="8" l="1"/>
  <c r="AR47" i="9"/>
  <c r="AR46" i="9"/>
  <c r="AR45" i="9"/>
  <c r="AR44" i="9"/>
  <c r="AR46" i="8"/>
  <c r="AR45" i="8"/>
  <c r="AR43" i="8"/>
  <c r="AR48" i="9" l="1"/>
  <c r="AR47" i="8"/>
  <c r="AR22" i="8" l="1"/>
  <c r="AR16" i="8"/>
  <c r="AR10" i="8"/>
  <c r="AR34" i="8"/>
  <c r="AR35" i="9"/>
  <c r="AR23" i="9"/>
  <c r="AR17" i="9"/>
  <c r="AR11" i="9"/>
  <c r="AR40" i="8" l="1"/>
  <c r="AR41" i="9"/>
  <c r="AQ47" i="9"/>
  <c r="AU47" i="9" s="1"/>
  <c r="AQ46" i="9"/>
  <c r="AQ53" i="9" s="1"/>
  <c r="AQ45" i="9"/>
  <c r="AQ52" i="9" s="1"/>
  <c r="AQ44" i="9"/>
  <c r="AQ40" i="9"/>
  <c r="AQ39" i="9"/>
  <c r="AQ38" i="9"/>
  <c r="AQ35" i="9"/>
  <c r="AU34" i="9"/>
  <c r="AU33" i="9"/>
  <c r="AU32" i="9"/>
  <c r="AU31" i="9"/>
  <c r="AQ23" i="9"/>
  <c r="AU23" i="9" s="1"/>
  <c r="AU22" i="9"/>
  <c r="AU21" i="9"/>
  <c r="AU20" i="9"/>
  <c r="AU17" i="9"/>
  <c r="AQ17" i="9"/>
  <c r="AQ11" i="9"/>
  <c r="AU10" i="9"/>
  <c r="AU9" i="9"/>
  <c r="AU8" i="9"/>
  <c r="AQ48" i="9" l="1"/>
  <c r="AQ54" i="9" s="1"/>
  <c r="AU39" i="9"/>
  <c r="AU38" i="9"/>
  <c r="AU11" i="9"/>
  <c r="AU35" i="9"/>
  <c r="AU40" i="9"/>
  <c r="AQ41" i="9"/>
  <c r="AQ51" i="9"/>
  <c r="AU45" i="9"/>
  <c r="AU52" i="9" s="1"/>
  <c r="AU44" i="9"/>
  <c r="AU46" i="9"/>
  <c r="AU53" i="9" s="1"/>
  <c r="AU41" i="9" l="1"/>
  <c r="AU48" i="9"/>
  <c r="AU54" i="9" s="1"/>
  <c r="AU51" i="9"/>
  <c r="AQ46" i="8" l="1"/>
  <c r="AU46" i="8" s="1"/>
  <c r="AQ45" i="8"/>
  <c r="AQ52" i="8" s="1"/>
  <c r="AQ44" i="8"/>
  <c r="AU44" i="8" s="1"/>
  <c r="AQ43" i="8"/>
  <c r="AQ50" i="8" s="1"/>
  <c r="AQ39" i="8"/>
  <c r="AQ38" i="8"/>
  <c r="AQ37" i="8"/>
  <c r="AQ34" i="8"/>
  <c r="AU33" i="8"/>
  <c r="AU32" i="8"/>
  <c r="AU31" i="8"/>
  <c r="AU30" i="8"/>
  <c r="AQ22" i="8"/>
  <c r="AU22" i="8" s="1"/>
  <c r="AU21" i="8"/>
  <c r="AU20" i="8"/>
  <c r="AU19" i="8"/>
  <c r="AQ16" i="8"/>
  <c r="AQ10" i="8"/>
  <c r="AU9" i="8"/>
  <c r="AU8" i="8"/>
  <c r="AU7" i="8"/>
  <c r="AO52" i="8"/>
  <c r="AO51" i="8"/>
  <c r="AO43" i="8"/>
  <c r="AO50" i="8" s="1"/>
  <c r="AO46" i="8"/>
  <c r="AO45" i="8"/>
  <c r="AO44" i="8"/>
  <c r="AO47" i="8" s="1"/>
  <c r="AO45" i="9"/>
  <c r="AO52" i="9" s="1"/>
  <c r="AO47" i="9"/>
  <c r="AO44" i="9"/>
  <c r="AO51" i="9" s="1"/>
  <c r="AO46" i="9"/>
  <c r="AO53" i="9" s="1"/>
  <c r="AU10" i="8" l="1"/>
  <c r="AQ51" i="8"/>
  <c r="AQ47" i="8"/>
  <c r="AQ53" i="8" s="1"/>
  <c r="AU43" i="8"/>
  <c r="AU50" i="8" s="1"/>
  <c r="AU39" i="8"/>
  <c r="AU38" i="8"/>
  <c r="AQ40" i="8"/>
  <c r="AU51" i="8"/>
  <c r="AU34" i="8"/>
  <c r="AU45" i="8"/>
  <c r="AU52" i="8" s="1"/>
  <c r="AU37" i="8"/>
  <c r="AO48" i="9"/>
  <c r="AU40" i="8" l="1"/>
  <c r="AU47" i="8"/>
  <c r="AU53" i="8" s="1"/>
  <c r="AO40" i="9"/>
  <c r="AO39" i="9"/>
  <c r="AO38" i="9"/>
  <c r="AO39" i="8"/>
  <c r="AO38" i="8"/>
  <c r="AO37" i="8"/>
  <c r="AO23" i="9"/>
  <c r="AO22" i="8"/>
  <c r="AO34" i="8"/>
  <c r="AO40" i="8" s="1"/>
  <c r="AO35" i="9"/>
  <c r="AO11" i="9"/>
  <c r="AO54" i="9" s="1"/>
  <c r="AO10" i="8"/>
  <c r="AO53" i="8" s="1"/>
  <c r="AP17" i="9"/>
  <c r="AO17" i="9"/>
  <c r="AO16" i="8"/>
  <c r="AN46" i="8"/>
  <c r="AN45" i="8"/>
  <c r="AN52" i="8" s="1"/>
  <c r="AN44" i="8"/>
  <c r="AN51" i="8" s="1"/>
  <c r="AN43" i="8"/>
  <c r="AN50" i="8" s="1"/>
  <c r="AN47" i="9"/>
  <c r="AN46" i="9"/>
  <c r="AN53" i="9" s="1"/>
  <c r="AN45" i="9"/>
  <c r="AN52" i="9" s="1"/>
  <c r="AN44" i="9"/>
  <c r="AN51" i="9" s="1"/>
  <c r="AN39" i="8"/>
  <c r="AN38" i="8"/>
  <c r="AN37" i="8"/>
  <c r="AN40" i="9"/>
  <c r="AN39" i="9"/>
  <c r="AN38" i="9"/>
  <c r="AN23" i="9"/>
  <c r="AN22" i="8"/>
  <c r="AN34" i="8"/>
  <c r="AN16" i="8"/>
  <c r="AN10" i="8"/>
  <c r="AN35" i="9"/>
  <c r="AN17" i="9"/>
  <c r="AN11" i="9"/>
  <c r="AM45" i="8"/>
  <c r="AM43" i="8"/>
  <c r="AM46" i="8"/>
  <c r="AM44" i="8"/>
  <c r="AM47" i="8"/>
  <c r="AM47" i="9"/>
  <c r="AM46" i="9"/>
  <c r="AM45" i="9"/>
  <c r="AM44" i="9"/>
  <c r="AL44" i="9"/>
  <c r="AM17" i="9"/>
  <c r="AP16" i="8"/>
  <c r="AM16" i="8"/>
  <c r="AL45" i="9"/>
  <c r="AL47" i="9"/>
  <c r="AL46" i="9"/>
  <c r="AL46" i="8"/>
  <c r="AL45" i="8"/>
  <c r="AL44" i="8"/>
  <c r="AL43" i="8"/>
  <c r="AL17" i="9"/>
  <c r="AN47" i="8" l="1"/>
  <c r="AN53" i="8" s="1"/>
  <c r="AO41" i="9"/>
  <c r="AN48" i="9"/>
  <c r="AN54" i="9" s="1"/>
  <c r="AN41" i="9"/>
  <c r="AN40" i="8"/>
  <c r="AL16" i="8"/>
  <c r="AM51" i="9"/>
  <c r="AM53" i="9"/>
  <c r="AL53" i="9"/>
  <c r="AP45" i="9"/>
  <c r="AM52" i="9"/>
  <c r="AL52" i="9"/>
  <c r="AL51" i="9"/>
  <c r="AM40" i="9"/>
  <c r="AL40" i="9"/>
  <c r="AM39" i="9"/>
  <c r="AL39" i="9"/>
  <c r="AM38" i="9"/>
  <c r="AL38" i="9"/>
  <c r="AM35" i="9"/>
  <c r="AL35" i="9"/>
  <c r="AP34" i="9"/>
  <c r="AP33" i="9"/>
  <c r="AP32" i="9"/>
  <c r="AP31" i="9"/>
  <c r="AM23" i="9"/>
  <c r="AL23" i="9"/>
  <c r="AP22" i="9"/>
  <c r="AP21" i="9"/>
  <c r="AP20" i="9"/>
  <c r="AM11" i="9"/>
  <c r="AL11" i="9"/>
  <c r="AP10" i="9"/>
  <c r="AP9" i="9"/>
  <c r="AP8" i="9"/>
  <c r="AL50" i="8"/>
  <c r="AL47" i="8"/>
  <c r="AM52" i="8"/>
  <c r="AL52" i="8"/>
  <c r="AM51" i="8"/>
  <c r="AM39" i="8"/>
  <c r="AL39" i="8"/>
  <c r="AM38" i="8"/>
  <c r="AL38" i="8"/>
  <c r="AM37" i="8"/>
  <c r="AL37" i="8"/>
  <c r="AM34" i="8"/>
  <c r="AL34" i="8"/>
  <c r="AP33" i="8"/>
  <c r="AP32" i="8"/>
  <c r="AP31" i="8"/>
  <c r="AP30" i="8"/>
  <c r="AM22" i="8"/>
  <c r="AL22" i="8"/>
  <c r="AP21" i="8"/>
  <c r="AP20" i="8"/>
  <c r="AP19" i="8"/>
  <c r="AM10" i="8"/>
  <c r="AL10" i="8"/>
  <c r="AP9" i="8"/>
  <c r="AP8" i="8"/>
  <c r="AP7" i="8"/>
  <c r="AP34" i="8" l="1"/>
  <c r="AP35" i="9"/>
  <c r="AM40" i="8"/>
  <c r="AP23" i="9"/>
  <c r="AP39" i="9"/>
  <c r="AP52" i="9"/>
  <c r="AP11" i="9"/>
  <c r="AL40" i="8"/>
  <c r="AP22" i="8"/>
  <c r="AP10" i="8"/>
  <c r="AP40" i="9"/>
  <c r="AP38" i="9"/>
  <c r="AM48" i="9"/>
  <c r="AM54" i="9" s="1"/>
  <c r="AL41" i="9"/>
  <c r="AM41" i="9"/>
  <c r="AP47" i="9"/>
  <c r="AP44" i="9"/>
  <c r="AP51" i="9" s="1"/>
  <c r="AP46" i="9"/>
  <c r="AP53" i="9" s="1"/>
  <c r="AL48" i="9"/>
  <c r="AL54" i="9" s="1"/>
  <c r="AP44" i="8"/>
  <c r="AP51" i="8" s="1"/>
  <c r="AP39" i="8"/>
  <c r="AL51" i="8"/>
  <c r="AP46" i="8"/>
  <c r="AP38" i="8"/>
  <c r="AL53" i="8"/>
  <c r="AP37" i="8"/>
  <c r="AM53" i="8"/>
  <c r="AP43" i="8"/>
  <c r="AP45" i="8"/>
  <c r="AP52" i="8" s="1"/>
  <c r="AM50" i="8"/>
  <c r="AJ53" i="9"/>
  <c r="AJ52" i="9"/>
  <c r="AJ51" i="9"/>
  <c r="AJ47" i="9"/>
  <c r="AJ48" i="9" s="1"/>
  <c r="AJ52" i="8"/>
  <c r="AJ51" i="8"/>
  <c r="AJ50" i="8"/>
  <c r="AJ46" i="8"/>
  <c r="AJ47" i="8" s="1"/>
  <c r="AJ53" i="8" s="1"/>
  <c r="AI46" i="8"/>
  <c r="AJ40" i="9"/>
  <c r="AJ39" i="9"/>
  <c r="AJ38" i="9"/>
  <c r="AJ35" i="9"/>
  <c r="AJ23" i="9"/>
  <c r="AJ11" i="9"/>
  <c r="AJ40" i="8"/>
  <c r="AJ39" i="8"/>
  <c r="AJ38" i="8"/>
  <c r="AJ37" i="8"/>
  <c r="AJ34" i="8"/>
  <c r="AJ22" i="8"/>
  <c r="AJ10" i="8"/>
  <c r="AJ17" i="9"/>
  <c r="AJ16" i="8"/>
  <c r="AJ41" i="9" l="1"/>
  <c r="AJ54" i="9"/>
  <c r="AP41" i="9"/>
  <c r="AP40" i="8"/>
  <c r="AP48" i="9"/>
  <c r="AP54" i="9" s="1"/>
  <c r="AP47" i="8"/>
  <c r="AP53" i="8" s="1"/>
  <c r="AP50" i="8"/>
  <c r="AI47" i="9"/>
  <c r="AI46" i="9"/>
  <c r="AI53" i="9" s="1"/>
  <c r="AI45" i="9"/>
  <c r="AI52" i="9" s="1"/>
  <c r="AI44" i="9"/>
  <c r="AI51" i="9" s="1"/>
  <c r="AI45" i="8"/>
  <c r="AI52" i="8" s="1"/>
  <c r="AI44" i="8"/>
  <c r="AI51" i="8" s="1"/>
  <c r="AI43" i="8"/>
  <c r="AK17" i="9"/>
  <c r="AI40" i="9"/>
  <c r="AI39" i="9"/>
  <c r="AI38" i="9"/>
  <c r="AI35" i="9"/>
  <c r="AI41" i="9" s="1"/>
  <c r="AI23" i="9"/>
  <c r="AI17" i="9"/>
  <c r="AI11" i="9"/>
  <c r="AI16" i="8"/>
  <c r="AI37" i="8"/>
  <c r="AI38" i="8"/>
  <c r="AI39" i="8"/>
  <c r="AI34" i="8"/>
  <c r="AI40" i="8" s="1"/>
  <c r="AI22" i="8"/>
  <c r="AI10" i="8"/>
  <c r="O17" i="9"/>
  <c r="P17" i="9"/>
  <c r="AI47" i="8" l="1"/>
  <c r="AI53" i="8" s="1"/>
  <c r="AI48" i="9"/>
  <c r="AI54" i="9" s="1"/>
  <c r="AI50" i="8"/>
  <c r="AH17" i="9"/>
  <c r="AH47" i="9"/>
  <c r="AH46" i="9"/>
  <c r="AH45" i="9"/>
  <c r="AH44" i="9"/>
  <c r="AH46" i="8"/>
  <c r="AH45" i="8"/>
  <c r="AH44" i="8"/>
  <c r="AH43" i="8"/>
  <c r="AH16" i="8"/>
  <c r="AK16" i="8"/>
  <c r="AH38" i="9" l="1"/>
  <c r="AH53" i="9"/>
  <c r="AH52" i="9"/>
  <c r="AH51" i="9"/>
  <c r="AH48" i="9"/>
  <c r="AH40" i="9"/>
  <c r="AH39" i="9"/>
  <c r="AH35" i="9"/>
  <c r="AH23" i="9"/>
  <c r="AH11" i="9"/>
  <c r="AH22" i="8"/>
  <c r="AH50" i="8"/>
  <c r="AH51" i="8"/>
  <c r="AH52" i="8"/>
  <c r="AH47" i="8"/>
  <c r="AH34" i="8"/>
  <c r="AG16" i="8"/>
  <c r="AH10" i="8"/>
  <c r="AH37" i="8"/>
  <c r="AH38" i="8"/>
  <c r="AH39" i="8"/>
  <c r="AH53" i="8" l="1"/>
  <c r="AH54" i="9"/>
  <c r="AH41" i="9"/>
  <c r="AH40" i="8"/>
  <c r="AK20" i="9"/>
  <c r="AK21" i="9"/>
  <c r="AK22" i="9"/>
  <c r="AK9" i="8"/>
  <c r="AK8" i="8"/>
  <c r="AK7" i="8"/>
  <c r="AK10" i="8" l="1"/>
  <c r="AG47" i="9"/>
  <c r="AK47" i="9" s="1"/>
  <c r="AG46" i="9"/>
  <c r="AK46" i="9" s="1"/>
  <c r="AG45" i="9"/>
  <c r="AG52" i="9" s="1"/>
  <c r="AG44" i="9"/>
  <c r="AK44" i="9" s="1"/>
  <c r="AG40" i="9"/>
  <c r="AG39" i="9"/>
  <c r="AG38" i="9"/>
  <c r="AG35" i="9"/>
  <c r="AG41" i="9" s="1"/>
  <c r="AK34" i="9"/>
  <c r="AK33" i="9"/>
  <c r="AK32" i="9"/>
  <c r="AK31" i="9"/>
  <c r="AG23" i="9"/>
  <c r="AK23" i="9" s="1"/>
  <c r="AG17" i="9"/>
  <c r="AG11" i="9"/>
  <c r="AK10" i="9"/>
  <c r="AK9" i="9"/>
  <c r="AK8" i="9"/>
  <c r="AG46" i="8"/>
  <c r="AK46" i="8" s="1"/>
  <c r="AG45" i="8"/>
  <c r="AG52" i="8" s="1"/>
  <c r="AG44" i="8"/>
  <c r="AG51" i="8" s="1"/>
  <c r="AG43" i="8"/>
  <c r="AG39" i="8"/>
  <c r="AG38" i="8"/>
  <c r="AG37" i="8"/>
  <c r="AG34" i="8"/>
  <c r="AK33" i="8"/>
  <c r="AK32" i="8"/>
  <c r="AK31" i="8"/>
  <c r="AK30" i="8"/>
  <c r="AG22" i="8"/>
  <c r="AK22" i="8" s="1"/>
  <c r="AK21" i="8"/>
  <c r="AK20" i="8"/>
  <c r="AK19" i="8"/>
  <c r="AG10" i="8"/>
  <c r="AG51" i="9" l="1"/>
  <c r="AG53" i="9"/>
  <c r="AK53" i="9"/>
  <c r="AK11" i="9"/>
  <c r="AK40" i="9"/>
  <c r="AK38" i="9"/>
  <c r="AK39" i="9"/>
  <c r="AK51" i="9"/>
  <c r="AK45" i="9"/>
  <c r="AK52" i="9" s="1"/>
  <c r="AG48" i="9"/>
  <c r="AG54" i="9" s="1"/>
  <c r="AK35" i="9"/>
  <c r="AK38" i="8"/>
  <c r="AG47" i="8"/>
  <c r="AG53" i="8" s="1"/>
  <c r="AG50" i="8"/>
  <c r="AK39" i="8"/>
  <c r="AG40" i="8"/>
  <c r="AK37" i="8"/>
  <c r="AK44" i="8"/>
  <c r="AK51" i="8" s="1"/>
  <c r="AK45" i="8"/>
  <c r="AK52" i="8" s="1"/>
  <c r="AK34" i="8"/>
  <c r="AK40" i="8" s="1"/>
  <c r="AK43" i="8"/>
  <c r="AK41" i="9" l="1"/>
  <c r="AK48" i="9"/>
  <c r="AK54" i="9" s="1"/>
  <c r="AK47" i="8"/>
  <c r="AK53" i="8" s="1"/>
  <c r="AK50" i="8"/>
  <c r="R44" i="9" l="1"/>
  <c r="U33" i="9"/>
  <c r="U31" i="9"/>
  <c r="P34" i="9"/>
  <c r="P32" i="9"/>
  <c r="O32" i="9"/>
  <c r="O31" i="9"/>
  <c r="K31" i="9"/>
  <c r="I33" i="9"/>
  <c r="I32" i="9"/>
  <c r="F34" i="9"/>
  <c r="F33" i="9"/>
  <c r="D33" i="9"/>
  <c r="C31" i="9"/>
  <c r="AF16" i="8" l="1"/>
  <c r="AD46" i="8"/>
  <c r="AE46" i="8"/>
  <c r="AE45" i="8"/>
  <c r="AD45" i="8"/>
  <c r="AE44" i="8"/>
  <c r="AD44" i="8"/>
  <c r="AE43" i="8"/>
  <c r="AD43" i="8"/>
  <c r="AE47" i="9"/>
  <c r="AD47" i="9"/>
  <c r="AE44" i="9"/>
  <c r="AE46" i="9"/>
  <c r="AE45" i="9"/>
  <c r="AE53" i="9" l="1"/>
  <c r="AE52" i="9"/>
  <c r="AE51" i="9"/>
  <c r="AE48" i="9"/>
  <c r="AE40" i="9"/>
  <c r="AE39" i="9"/>
  <c r="AE38" i="9"/>
  <c r="AE35" i="9"/>
  <c r="AE23" i="9"/>
  <c r="AE17" i="9"/>
  <c r="AE11" i="9"/>
  <c r="AE22" i="8"/>
  <c r="AE41" i="9" l="1"/>
  <c r="AE54" i="9"/>
  <c r="AE50" i="8"/>
  <c r="AE51" i="8"/>
  <c r="AE52" i="8"/>
  <c r="AE47" i="8"/>
  <c r="AE37" i="8"/>
  <c r="AE38" i="8"/>
  <c r="AE39" i="8"/>
  <c r="AE34" i="8"/>
  <c r="AE16" i="8"/>
  <c r="AE10" i="8"/>
  <c r="AE40" i="8" l="1"/>
  <c r="AE53" i="8"/>
  <c r="AD46" i="9"/>
  <c r="AD53" i="9" s="1"/>
  <c r="AD45" i="9"/>
  <c r="AD52" i="9" s="1"/>
  <c r="AD44" i="9"/>
  <c r="AD51" i="9" s="1"/>
  <c r="AD40" i="9"/>
  <c r="AD50" i="8" l="1"/>
  <c r="AD51" i="8"/>
  <c r="AD52" i="8"/>
  <c r="AD47" i="8"/>
  <c r="AD38" i="8"/>
  <c r="AD37" i="8"/>
  <c r="AD39" i="8"/>
  <c r="AD34" i="8"/>
  <c r="AD22" i="8"/>
  <c r="AD16" i="8"/>
  <c r="AD10" i="8"/>
  <c r="AD53" i="8" l="1"/>
  <c r="AD40" i="8"/>
  <c r="AC17" i="9"/>
  <c r="AD38" i="9"/>
  <c r="AD39" i="9"/>
  <c r="AD48" i="9"/>
  <c r="AD35" i="9"/>
  <c r="AD23" i="9"/>
  <c r="AD17" i="9"/>
  <c r="AD11" i="9"/>
  <c r="AD54" i="9" l="1"/>
  <c r="AD41" i="9"/>
  <c r="AC45" i="9"/>
  <c r="AC52" i="9" s="1"/>
  <c r="AC38" i="9"/>
  <c r="AC47" i="9"/>
  <c r="AC46" i="9"/>
  <c r="AC53" i="9" s="1"/>
  <c r="AC44" i="9"/>
  <c r="AC40" i="9"/>
  <c r="AC39" i="9"/>
  <c r="AC35" i="9"/>
  <c r="AC23" i="9"/>
  <c r="AC11" i="9"/>
  <c r="AC46" i="8"/>
  <c r="AC45" i="8"/>
  <c r="AC52" i="8" s="1"/>
  <c r="AC44" i="8"/>
  <c r="AC51" i="8" s="1"/>
  <c r="AC43" i="8"/>
  <c r="AC50" i="8"/>
  <c r="AC39" i="8"/>
  <c r="AC38" i="8"/>
  <c r="AC37" i="8"/>
  <c r="AC34" i="8"/>
  <c r="AC22" i="8"/>
  <c r="AC16" i="8"/>
  <c r="AC10" i="8"/>
  <c r="AC41" i="9" l="1"/>
  <c r="AC48" i="9"/>
  <c r="AC54" i="9" s="1"/>
  <c r="AC51" i="9"/>
  <c r="AC40" i="8"/>
  <c r="AC47" i="8"/>
  <c r="AC53" i="8" s="1"/>
  <c r="AB35" i="9" l="1"/>
  <c r="AB46" i="9"/>
  <c r="AF46" i="9" s="1"/>
  <c r="AB45" i="9"/>
  <c r="AB52" i="9" s="1"/>
  <c r="AB44" i="9"/>
  <c r="AF44" i="9" s="1"/>
  <c r="AB40" i="9"/>
  <c r="AB39" i="9"/>
  <c r="AB38" i="9"/>
  <c r="AF33" i="9"/>
  <c r="AF32" i="9"/>
  <c r="AF31" i="9"/>
  <c r="AB23" i="9"/>
  <c r="AF23" i="9" s="1"/>
  <c r="AF22" i="9"/>
  <c r="AF21" i="9"/>
  <c r="AF20" i="9"/>
  <c r="AB17" i="9"/>
  <c r="AB11" i="9"/>
  <c r="AF10" i="9"/>
  <c r="AF9" i="9"/>
  <c r="AF8" i="9"/>
  <c r="AB46" i="8"/>
  <c r="AB45" i="8"/>
  <c r="AB44" i="8"/>
  <c r="AB43" i="8"/>
  <c r="AB41" i="9" l="1"/>
  <c r="AF53" i="9"/>
  <c r="AF11" i="9"/>
  <c r="AF40" i="9"/>
  <c r="AF34" i="9"/>
  <c r="AF35" i="9" s="1"/>
  <c r="AB47" i="9"/>
  <c r="AF47" i="9" s="1"/>
  <c r="AF38" i="9"/>
  <c r="AB51" i="9"/>
  <c r="AF39" i="9"/>
  <c r="AB53" i="9"/>
  <c r="AF51" i="9"/>
  <c r="AF45" i="9"/>
  <c r="AF52" i="9" s="1"/>
  <c r="AF41" i="9" l="1"/>
  <c r="AB48" i="9"/>
  <c r="AB54" i="9" s="1"/>
  <c r="AF48" i="9"/>
  <c r="AF54" i="9" s="1"/>
  <c r="AF46" i="8" l="1"/>
  <c r="AF45" i="8"/>
  <c r="AF44" i="8"/>
  <c r="AB39" i="8"/>
  <c r="AB38" i="8"/>
  <c r="AB37" i="8"/>
  <c r="AB34" i="8"/>
  <c r="AB40" i="8" s="1"/>
  <c r="AF33" i="8"/>
  <c r="AF32" i="8"/>
  <c r="AF31" i="8"/>
  <c r="AF30" i="8"/>
  <c r="AB22" i="8"/>
  <c r="AF22" i="8" s="1"/>
  <c r="AF21" i="8"/>
  <c r="AF20" i="8"/>
  <c r="AF19" i="8"/>
  <c r="AB16" i="8"/>
  <c r="AB10" i="8"/>
  <c r="AF9" i="8"/>
  <c r="AF8" i="8"/>
  <c r="AF7" i="8"/>
  <c r="AF39" i="8" l="1"/>
  <c r="AF37" i="8"/>
  <c r="AB47" i="8"/>
  <c r="AB53" i="8" s="1"/>
  <c r="AB51" i="8"/>
  <c r="AB50" i="8"/>
  <c r="AF38" i="8"/>
  <c r="AF52" i="8"/>
  <c r="AF10" i="8"/>
  <c r="AF51" i="8"/>
  <c r="AF34" i="8"/>
  <c r="AB52" i="8"/>
  <c r="AF43" i="8"/>
  <c r="T38" i="9"/>
  <c r="T40" i="9"/>
  <c r="S40" i="9"/>
  <c r="R40" i="9"/>
  <c r="P40" i="9"/>
  <c r="O40" i="9"/>
  <c r="N40" i="9"/>
  <c r="M40" i="9"/>
  <c r="K40" i="9"/>
  <c r="J40" i="9"/>
  <c r="H40" i="9"/>
  <c r="E40" i="9"/>
  <c r="Z39" i="9"/>
  <c r="Y39" i="9"/>
  <c r="X39" i="9"/>
  <c r="W39" i="9"/>
  <c r="U39" i="9"/>
  <c r="T39" i="9"/>
  <c r="S39" i="9"/>
  <c r="R39" i="9"/>
  <c r="N39" i="9"/>
  <c r="M39" i="9"/>
  <c r="K39" i="9"/>
  <c r="J39" i="9"/>
  <c r="H39" i="9"/>
  <c r="F39" i="9"/>
  <c r="E39" i="9"/>
  <c r="D39" i="9"/>
  <c r="S38" i="9"/>
  <c r="R38" i="9"/>
  <c r="P38" i="9"/>
  <c r="N38" i="9"/>
  <c r="M38" i="9"/>
  <c r="J38" i="9"/>
  <c r="I38" i="9"/>
  <c r="H38" i="9"/>
  <c r="F38" i="9"/>
  <c r="E38" i="9"/>
  <c r="D38" i="9"/>
  <c r="C39" i="9"/>
  <c r="C40" i="9"/>
  <c r="D37" i="8"/>
  <c r="Z39" i="8"/>
  <c r="Y39" i="8"/>
  <c r="X39" i="8"/>
  <c r="W39" i="8"/>
  <c r="U39" i="8"/>
  <c r="T39" i="8"/>
  <c r="S39" i="8"/>
  <c r="R39" i="8"/>
  <c r="P39" i="8"/>
  <c r="O39" i="8"/>
  <c r="N39" i="8"/>
  <c r="M39" i="8"/>
  <c r="K39" i="8"/>
  <c r="J39" i="8"/>
  <c r="I39" i="8"/>
  <c r="H39" i="8"/>
  <c r="F39" i="8"/>
  <c r="E39" i="8"/>
  <c r="D39" i="8"/>
  <c r="Z38" i="8"/>
  <c r="Y38" i="8"/>
  <c r="X38" i="8"/>
  <c r="W38" i="8"/>
  <c r="U38" i="8"/>
  <c r="T38" i="8"/>
  <c r="S38" i="8"/>
  <c r="R38" i="8"/>
  <c r="P38" i="8"/>
  <c r="O38" i="8"/>
  <c r="N38" i="8"/>
  <c r="M38" i="8"/>
  <c r="K38" i="8"/>
  <c r="J38" i="8"/>
  <c r="I38" i="8"/>
  <c r="H38" i="8"/>
  <c r="F38" i="8"/>
  <c r="E38" i="8"/>
  <c r="D38" i="8"/>
  <c r="Z37" i="8"/>
  <c r="Y37" i="8"/>
  <c r="X37" i="8"/>
  <c r="W37" i="8"/>
  <c r="U37" i="8"/>
  <c r="T37" i="8"/>
  <c r="S37" i="8"/>
  <c r="R37" i="8"/>
  <c r="P37" i="8"/>
  <c r="O37" i="8"/>
  <c r="N37" i="8"/>
  <c r="M37" i="8"/>
  <c r="K37" i="8"/>
  <c r="J37" i="8"/>
  <c r="I37" i="8"/>
  <c r="H37" i="8"/>
  <c r="F37" i="8"/>
  <c r="E37" i="8"/>
  <c r="C38" i="8"/>
  <c r="C39" i="8"/>
  <c r="C37" i="8"/>
  <c r="AF40" i="8" l="1"/>
  <c r="AF47" i="8"/>
  <c r="AF53" i="8" s="1"/>
  <c r="AF50" i="8"/>
  <c r="Z40" i="9"/>
  <c r="Z38" i="9"/>
  <c r="Y40" i="9"/>
  <c r="Y38" i="9"/>
  <c r="X40" i="9"/>
  <c r="X38" i="9"/>
  <c r="W40" i="9"/>
  <c r="W38" i="9"/>
  <c r="U40" i="9"/>
  <c r="U38" i="9"/>
  <c r="P39" i="9"/>
  <c r="O39" i="9"/>
  <c r="O38" i="9"/>
  <c r="K38" i="9"/>
  <c r="I40" i="9"/>
  <c r="I39" i="9"/>
  <c r="F40" i="9"/>
  <c r="D40" i="9"/>
  <c r="C38" i="9"/>
  <c r="Z47" i="9" l="1"/>
  <c r="Y47" i="9"/>
  <c r="X47" i="9"/>
  <c r="W47" i="9"/>
  <c r="U47" i="9"/>
  <c r="T47" i="9"/>
  <c r="S47" i="9"/>
  <c r="R47" i="9"/>
  <c r="Z46" i="9"/>
  <c r="Z53" i="9" s="1"/>
  <c r="Y46" i="9"/>
  <c r="Y53" i="9" s="1"/>
  <c r="X46" i="9"/>
  <c r="X53" i="9" s="1"/>
  <c r="W46" i="9"/>
  <c r="W53" i="9" s="1"/>
  <c r="U46" i="9"/>
  <c r="U53" i="9" s="1"/>
  <c r="T46" i="9"/>
  <c r="T53" i="9" s="1"/>
  <c r="S46" i="9"/>
  <c r="S53" i="9" s="1"/>
  <c r="R46" i="9"/>
  <c r="R53" i="9" s="1"/>
  <c r="Z45" i="9"/>
  <c r="Z52" i="9" s="1"/>
  <c r="Y45" i="9"/>
  <c r="Y52" i="9" s="1"/>
  <c r="X45" i="9"/>
  <c r="X52" i="9" s="1"/>
  <c r="W45" i="9"/>
  <c r="W52" i="9" s="1"/>
  <c r="U45" i="9"/>
  <c r="U52" i="9" s="1"/>
  <c r="T45" i="9"/>
  <c r="T52" i="9" s="1"/>
  <c r="S45" i="9"/>
  <c r="S52" i="9" s="1"/>
  <c r="R45" i="9"/>
  <c r="Z44" i="9"/>
  <c r="Z51" i="9" s="1"/>
  <c r="Y44" i="9"/>
  <c r="X44" i="9"/>
  <c r="X51" i="9" s="1"/>
  <c r="W44" i="9"/>
  <c r="U44" i="9"/>
  <c r="T44" i="9"/>
  <c r="T51" i="9" s="1"/>
  <c r="S44" i="9"/>
  <c r="R51" i="9"/>
  <c r="Z35" i="9"/>
  <c r="Y35" i="9"/>
  <c r="X35" i="9"/>
  <c r="W35" i="9"/>
  <c r="U35" i="9"/>
  <c r="T35" i="9"/>
  <c r="S35" i="9"/>
  <c r="R35" i="9"/>
  <c r="P35" i="9"/>
  <c r="O35" i="9"/>
  <c r="N35" i="9"/>
  <c r="M35" i="9"/>
  <c r="K35" i="9"/>
  <c r="J35" i="9"/>
  <c r="I35" i="9"/>
  <c r="H35" i="9"/>
  <c r="F35" i="9"/>
  <c r="E35" i="9"/>
  <c r="D35" i="9"/>
  <c r="C35" i="9"/>
  <c r="AA34" i="9"/>
  <c r="V34" i="9"/>
  <c r="Q34" i="9"/>
  <c r="Q47" i="9" s="1"/>
  <c r="L34" i="9"/>
  <c r="L47" i="9" s="1"/>
  <c r="G34" i="9"/>
  <c r="G47" i="9" s="1"/>
  <c r="AA33" i="9"/>
  <c r="V33" i="9"/>
  <c r="Q33" i="9"/>
  <c r="L33" i="9"/>
  <c r="G33" i="9"/>
  <c r="AA32" i="9"/>
  <c r="V32" i="9"/>
  <c r="Q32" i="9"/>
  <c r="L32" i="9"/>
  <c r="G32" i="9"/>
  <c r="G45" i="9" s="1"/>
  <c r="AA31" i="9"/>
  <c r="V31" i="9"/>
  <c r="Q31" i="9"/>
  <c r="L31" i="9"/>
  <c r="G31" i="9"/>
  <c r="G44" i="9" s="1"/>
  <c r="Z23" i="9"/>
  <c r="Y23" i="9"/>
  <c r="X23" i="9"/>
  <c r="W23" i="9"/>
  <c r="U23" i="9"/>
  <c r="T23" i="9"/>
  <c r="S23" i="9"/>
  <c r="R23" i="9"/>
  <c r="P23" i="9"/>
  <c r="O23" i="9"/>
  <c r="N23" i="9"/>
  <c r="M23" i="9"/>
  <c r="K23" i="9"/>
  <c r="J23" i="9"/>
  <c r="I23" i="9"/>
  <c r="H23" i="9"/>
  <c r="F23" i="9"/>
  <c r="E23" i="9"/>
  <c r="D23" i="9"/>
  <c r="C23" i="9"/>
  <c r="AA22" i="9"/>
  <c r="V22" i="9"/>
  <c r="Q22" i="9"/>
  <c r="L22" i="9"/>
  <c r="G22" i="9"/>
  <c r="AA21" i="9"/>
  <c r="V21" i="9"/>
  <c r="Q21" i="9"/>
  <c r="L21" i="9"/>
  <c r="G21" i="9"/>
  <c r="AA20" i="9"/>
  <c r="V20" i="9"/>
  <c r="Q20" i="9"/>
  <c r="L20" i="9"/>
  <c r="G20" i="9"/>
  <c r="AA17" i="9"/>
  <c r="Z17" i="9"/>
  <c r="Y17" i="9"/>
  <c r="X17" i="9"/>
  <c r="W17" i="9"/>
  <c r="V17" i="9"/>
  <c r="U17" i="9"/>
  <c r="T17" i="9"/>
  <c r="S17" i="9"/>
  <c r="R17" i="9"/>
  <c r="Q17" i="9"/>
  <c r="N17" i="9"/>
  <c r="M17" i="9"/>
  <c r="L17" i="9"/>
  <c r="K17" i="9"/>
  <c r="J17" i="9"/>
  <c r="I17" i="9"/>
  <c r="H17" i="9"/>
  <c r="G17" i="9"/>
  <c r="F17" i="9"/>
  <c r="E17" i="9"/>
  <c r="D17" i="9"/>
  <c r="C17" i="9"/>
  <c r="Z11" i="9"/>
  <c r="Y11" i="9"/>
  <c r="X11" i="9"/>
  <c r="W11" i="9"/>
  <c r="U11" i="9"/>
  <c r="T11" i="9"/>
  <c r="S11" i="9"/>
  <c r="R11" i="9"/>
  <c r="P11" i="9"/>
  <c r="O11" i="9"/>
  <c r="N11" i="9"/>
  <c r="M11" i="9"/>
  <c r="K11" i="9"/>
  <c r="J11" i="9"/>
  <c r="I11" i="9"/>
  <c r="H11" i="9"/>
  <c r="F11" i="9"/>
  <c r="E11" i="9"/>
  <c r="D11" i="9"/>
  <c r="C11" i="9"/>
  <c r="AA10" i="9"/>
  <c r="V10" i="9"/>
  <c r="Q10" i="9"/>
  <c r="L10" i="9"/>
  <c r="G10" i="9"/>
  <c r="AA9" i="9"/>
  <c r="V9" i="9"/>
  <c r="Q9" i="9"/>
  <c r="L9" i="9"/>
  <c r="G9" i="9"/>
  <c r="AA8" i="9"/>
  <c r="V8" i="9"/>
  <c r="Q8" i="9"/>
  <c r="L8" i="9"/>
  <c r="G8" i="9"/>
  <c r="V11" i="9" l="1"/>
  <c r="G52" i="9"/>
  <c r="L23" i="9"/>
  <c r="L40" i="9"/>
  <c r="V35" i="9"/>
  <c r="V41" i="9" s="1"/>
  <c r="V38" i="9"/>
  <c r="K41" i="9"/>
  <c r="Z41" i="9"/>
  <c r="U48" i="9"/>
  <c r="U54" i="9" s="1"/>
  <c r="U51" i="9"/>
  <c r="L11" i="9"/>
  <c r="G11" i="9"/>
  <c r="AA11" i="9"/>
  <c r="Q44" i="9"/>
  <c r="Q51" i="9" s="1"/>
  <c r="Q38" i="9"/>
  <c r="L45" i="9"/>
  <c r="L52" i="9" s="1"/>
  <c r="L39" i="9"/>
  <c r="G46" i="9"/>
  <c r="G53" i="9" s="1"/>
  <c r="G40" i="9"/>
  <c r="AA40" i="9"/>
  <c r="E41" i="9"/>
  <c r="J41" i="9"/>
  <c r="O41" i="9"/>
  <c r="T41" i="9"/>
  <c r="Y41" i="9"/>
  <c r="Y48" i="9"/>
  <c r="Y54" i="9" s="1"/>
  <c r="Y51" i="9"/>
  <c r="V47" i="9"/>
  <c r="AA47" i="9"/>
  <c r="F41" i="9"/>
  <c r="P41" i="9"/>
  <c r="Q11" i="9"/>
  <c r="Q23" i="9"/>
  <c r="V23" i="9"/>
  <c r="AA23" i="9"/>
  <c r="G51" i="9"/>
  <c r="G38" i="9"/>
  <c r="AA38" i="9"/>
  <c r="V39" i="9"/>
  <c r="Q46" i="9"/>
  <c r="Q53" i="9" s="1"/>
  <c r="Q40" i="9"/>
  <c r="C41" i="9"/>
  <c r="H41" i="9"/>
  <c r="M41" i="9"/>
  <c r="R41" i="9"/>
  <c r="W41" i="9"/>
  <c r="W48" i="9"/>
  <c r="W54" i="9" s="1"/>
  <c r="W51" i="9"/>
  <c r="Q45" i="9"/>
  <c r="Q52" i="9" s="1"/>
  <c r="Q39" i="9"/>
  <c r="U41" i="9"/>
  <c r="G23" i="9"/>
  <c r="L38" i="9"/>
  <c r="G39" i="9"/>
  <c r="AA39" i="9"/>
  <c r="V40" i="9"/>
  <c r="D41" i="9"/>
  <c r="I41" i="9"/>
  <c r="N41" i="9"/>
  <c r="S41" i="9"/>
  <c r="X41" i="9"/>
  <c r="S48" i="9"/>
  <c r="S54" i="9" s="1"/>
  <c r="S51" i="9"/>
  <c r="V45" i="9"/>
  <c r="V52" i="9" s="1"/>
  <c r="R52" i="9"/>
  <c r="L46" i="9"/>
  <c r="L53" i="9" s="1"/>
  <c r="AA46" i="9"/>
  <c r="AA53" i="9" s="1"/>
  <c r="L44" i="9"/>
  <c r="L51" i="9" s="1"/>
  <c r="L35" i="9"/>
  <c r="Q35" i="9"/>
  <c r="AA45" i="9"/>
  <c r="AA52" i="9" s="1"/>
  <c r="V46" i="9"/>
  <c r="V53" i="9" s="1"/>
  <c r="T48" i="9"/>
  <c r="T54" i="9" s="1"/>
  <c r="X48" i="9"/>
  <c r="X54" i="9" s="1"/>
  <c r="G35" i="9"/>
  <c r="AA35" i="9"/>
  <c r="V44" i="9"/>
  <c r="V51" i="9" s="1"/>
  <c r="R48" i="9"/>
  <c r="R54" i="9" s="1"/>
  <c r="Z48" i="9"/>
  <c r="Z54" i="9" s="1"/>
  <c r="AA44" i="9"/>
  <c r="AA51" i="9" s="1"/>
  <c r="G48" i="9" l="1"/>
  <c r="G54" i="9" s="1"/>
  <c r="AA41" i="9"/>
  <c r="G41" i="9"/>
  <c r="Q48" i="9"/>
  <c r="Q54" i="9" s="1"/>
  <c r="Q41" i="9"/>
  <c r="L41" i="9"/>
  <c r="L48" i="9"/>
  <c r="L54" i="9" s="1"/>
  <c r="AA48" i="9"/>
  <c r="AA54" i="9" s="1"/>
  <c r="V48" i="9"/>
  <c r="V54" i="9" s="1"/>
  <c r="U46" i="8" l="1"/>
  <c r="R43" i="8"/>
  <c r="R50" i="8" s="1"/>
  <c r="Z46" i="8"/>
  <c r="Z45" i="8"/>
  <c r="Z52" i="8" s="1"/>
  <c r="Z44" i="8"/>
  <c r="Z51" i="8" s="1"/>
  <c r="Z43" i="8"/>
  <c r="Z50" i="8" s="1"/>
  <c r="Y46" i="8"/>
  <c r="Y45" i="8"/>
  <c r="Y52" i="8" s="1"/>
  <c r="Y43" i="8"/>
  <c r="Y50" i="8" s="1"/>
  <c r="Y44" i="8"/>
  <c r="Y51" i="8" s="1"/>
  <c r="X46" i="8"/>
  <c r="X45" i="8"/>
  <c r="X52" i="8" s="1"/>
  <c r="X43" i="8"/>
  <c r="X50" i="8" s="1"/>
  <c r="W46" i="8"/>
  <c r="W45" i="8"/>
  <c r="W52" i="8" s="1"/>
  <c r="W44" i="8"/>
  <c r="W51" i="8" s="1"/>
  <c r="W43" i="8"/>
  <c r="W50" i="8" s="1"/>
  <c r="U45" i="8"/>
  <c r="U52" i="8" s="1"/>
  <c r="U44" i="8"/>
  <c r="U51" i="8" s="1"/>
  <c r="U43" i="8"/>
  <c r="U50" i="8" s="1"/>
  <c r="T46" i="8"/>
  <c r="T45" i="8"/>
  <c r="T52" i="8" s="1"/>
  <c r="T43" i="8"/>
  <c r="T50" i="8" s="1"/>
  <c r="S46" i="8"/>
  <c r="S45" i="8"/>
  <c r="S52" i="8" s="1"/>
  <c r="S43" i="8"/>
  <c r="S50" i="8" s="1"/>
  <c r="R46" i="8"/>
  <c r="R45" i="8"/>
  <c r="R52" i="8" s="1"/>
  <c r="M34" i="8" l="1"/>
  <c r="AA16" i="8" l="1"/>
  <c r="Z16" i="8"/>
  <c r="Z47" i="8"/>
  <c r="Z34" i="8"/>
  <c r="Z22" i="8"/>
  <c r="C22" i="8"/>
  <c r="Z10" i="8"/>
  <c r="Y10" i="8"/>
  <c r="X10" i="8"/>
  <c r="W10" i="8"/>
  <c r="U10" i="8"/>
  <c r="T10" i="8"/>
  <c r="S10" i="8"/>
  <c r="R10" i="8"/>
  <c r="P10" i="8"/>
  <c r="O10" i="8"/>
  <c r="N10" i="8"/>
  <c r="M10" i="8"/>
  <c r="K10" i="8"/>
  <c r="J10" i="8"/>
  <c r="I10" i="8"/>
  <c r="H10" i="8"/>
  <c r="F10" i="8"/>
  <c r="E10" i="8"/>
  <c r="D10" i="8"/>
  <c r="C10" i="8"/>
  <c r="Z53" i="8" l="1"/>
  <c r="Z40" i="8"/>
  <c r="Y47" i="8"/>
  <c r="X44" i="8"/>
  <c r="X51" i="8" s="1"/>
  <c r="T44" i="8"/>
  <c r="T51" i="8" s="1"/>
  <c r="S44" i="8"/>
  <c r="S51" i="8" s="1"/>
  <c r="R44" i="8"/>
  <c r="R51" i="8" s="1"/>
  <c r="Y34" i="8"/>
  <c r="X34" i="8"/>
  <c r="W34" i="8"/>
  <c r="U34" i="8"/>
  <c r="T34" i="8"/>
  <c r="S34" i="8"/>
  <c r="R34" i="8"/>
  <c r="P34" i="8"/>
  <c r="O34" i="8"/>
  <c r="N34" i="8"/>
  <c r="K34" i="8"/>
  <c r="J34" i="8"/>
  <c r="I34" i="8"/>
  <c r="H34" i="8"/>
  <c r="F34" i="8"/>
  <c r="E34" i="8"/>
  <c r="D34" i="8"/>
  <c r="C34" i="8"/>
  <c r="AA33" i="8"/>
  <c r="V33" i="8"/>
  <c r="Q33" i="8"/>
  <c r="Q46" i="8" s="1"/>
  <c r="L33" i="8"/>
  <c r="L46" i="8" s="1"/>
  <c r="G33" i="8"/>
  <c r="G46" i="8" s="1"/>
  <c r="AA31" i="8"/>
  <c r="V31" i="8"/>
  <c r="V38" i="8" s="1"/>
  <c r="Q31" i="8"/>
  <c r="L31" i="8"/>
  <c r="G31" i="8"/>
  <c r="AA32" i="8"/>
  <c r="AA39" i="8" s="1"/>
  <c r="V32" i="8"/>
  <c r="Q32" i="8"/>
  <c r="L32" i="8"/>
  <c r="G32" i="8"/>
  <c r="AA30" i="8"/>
  <c r="V30" i="8"/>
  <c r="Q30" i="8"/>
  <c r="L30" i="8"/>
  <c r="G30" i="8"/>
  <c r="Y22" i="8"/>
  <c r="X22" i="8"/>
  <c r="W22" i="8"/>
  <c r="U22" i="8"/>
  <c r="T22" i="8"/>
  <c r="S22" i="8"/>
  <c r="R22" i="8"/>
  <c r="P22" i="8"/>
  <c r="O22" i="8"/>
  <c r="N22" i="8"/>
  <c r="M22" i="8"/>
  <c r="K22" i="8"/>
  <c r="J22" i="8"/>
  <c r="I22" i="8"/>
  <c r="H22" i="8"/>
  <c r="F22" i="8"/>
  <c r="E22" i="8"/>
  <c r="D22" i="8"/>
  <c r="AA20" i="8"/>
  <c r="V20" i="8"/>
  <c r="Q20" i="8"/>
  <c r="L20" i="8"/>
  <c r="G20" i="8"/>
  <c r="AA21" i="8"/>
  <c r="V21" i="8"/>
  <c r="Q21" i="8"/>
  <c r="L21" i="8"/>
  <c r="G21" i="8"/>
  <c r="AA19" i="8"/>
  <c r="V19" i="8"/>
  <c r="Q19" i="8"/>
  <c r="L19" i="8"/>
  <c r="G19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Y16" i="8"/>
  <c r="AA8" i="8"/>
  <c r="V8" i="8"/>
  <c r="Q8" i="8"/>
  <c r="L8" i="8"/>
  <c r="G8" i="8"/>
  <c r="AA9" i="8"/>
  <c r="V9" i="8"/>
  <c r="Q9" i="8"/>
  <c r="L9" i="8"/>
  <c r="G9" i="8"/>
  <c r="AA7" i="8"/>
  <c r="V7" i="8"/>
  <c r="Q7" i="8"/>
  <c r="L7" i="8"/>
  <c r="G7" i="8"/>
  <c r="AA38" i="8" l="1"/>
  <c r="V37" i="8"/>
  <c r="L43" i="8"/>
  <c r="L50" i="8" s="1"/>
  <c r="L37" i="8"/>
  <c r="G45" i="8"/>
  <c r="G52" i="8" s="1"/>
  <c r="G39" i="8"/>
  <c r="Q43" i="8"/>
  <c r="Q50" i="8" s="1"/>
  <c r="Q37" i="8"/>
  <c r="L39" i="8"/>
  <c r="L45" i="8"/>
  <c r="L52" i="8" s="1"/>
  <c r="G44" i="8"/>
  <c r="G51" i="8" s="1"/>
  <c r="G38" i="8"/>
  <c r="Q39" i="8"/>
  <c r="Q45" i="8"/>
  <c r="Q52" i="8" s="1"/>
  <c r="L44" i="8"/>
  <c r="L51" i="8" s="1"/>
  <c r="L38" i="8"/>
  <c r="G43" i="8"/>
  <c r="G50" i="8" s="1"/>
  <c r="G37" i="8"/>
  <c r="AA37" i="8"/>
  <c r="V39" i="8"/>
  <c r="Q38" i="8"/>
  <c r="V10" i="8"/>
  <c r="G10" i="8"/>
  <c r="AA10" i="8"/>
  <c r="L10" i="8"/>
  <c r="Q10" i="8"/>
  <c r="W40" i="8"/>
  <c r="S40" i="8"/>
  <c r="O40" i="8"/>
  <c r="U40" i="8"/>
  <c r="Q22" i="8"/>
  <c r="V22" i="8"/>
  <c r="AA22" i="8"/>
  <c r="L34" i="8"/>
  <c r="AA34" i="8"/>
  <c r="M40" i="8"/>
  <c r="K40" i="8"/>
  <c r="L22" i="8"/>
  <c r="V34" i="8"/>
  <c r="N40" i="8"/>
  <c r="E40" i="8"/>
  <c r="J40" i="8"/>
  <c r="W47" i="8"/>
  <c r="W53" i="8" s="1"/>
  <c r="AA46" i="8"/>
  <c r="R40" i="8"/>
  <c r="Q34" i="8"/>
  <c r="I40" i="8"/>
  <c r="C40" i="8"/>
  <c r="G22" i="8"/>
  <c r="F40" i="8"/>
  <c r="Y40" i="8"/>
  <c r="S47" i="8"/>
  <c r="S53" i="8" s="1"/>
  <c r="AA44" i="8"/>
  <c r="AA51" i="8" s="1"/>
  <c r="Y53" i="8"/>
  <c r="T47" i="8"/>
  <c r="T53" i="8" s="1"/>
  <c r="AA43" i="8"/>
  <c r="AA50" i="8" s="1"/>
  <c r="V45" i="8"/>
  <c r="V52" i="8" s="1"/>
  <c r="Q44" i="8"/>
  <c r="Q51" i="8" s="1"/>
  <c r="U47" i="8"/>
  <c r="U53" i="8" s="1"/>
  <c r="H40" i="8"/>
  <c r="P40" i="8"/>
  <c r="T40" i="8"/>
  <c r="X40" i="8"/>
  <c r="X47" i="8"/>
  <c r="X53" i="8" s="1"/>
  <c r="D40" i="8"/>
  <c r="AA45" i="8"/>
  <c r="AA52" i="8" s="1"/>
  <c r="V46" i="8"/>
  <c r="V43" i="8"/>
  <c r="V50" i="8" s="1"/>
  <c r="V44" i="8"/>
  <c r="V51" i="8" s="1"/>
  <c r="R47" i="8"/>
  <c r="R53" i="8" s="1"/>
  <c r="G34" i="8"/>
  <c r="L47" i="8" l="1"/>
  <c r="L53" i="8" s="1"/>
  <c r="G47" i="8"/>
  <c r="G53" i="8" s="1"/>
  <c r="V40" i="8"/>
  <c r="L40" i="8"/>
  <c r="AA40" i="8"/>
  <c r="G40" i="8"/>
  <c r="Q40" i="8"/>
  <c r="V47" i="8"/>
  <c r="V53" i="8" s="1"/>
  <c r="Q47" i="8"/>
  <c r="Q53" i="8" s="1"/>
  <c r="AA47" i="8"/>
  <c r="AA53" i="8" s="1"/>
  <c r="AH44" i="7" l="1"/>
  <c r="AG44" i="7"/>
  <c r="AF44" i="7"/>
  <c r="AE44" i="7"/>
  <c r="AD44" i="7"/>
  <c r="AC44" i="7"/>
  <c r="AB44" i="7"/>
  <c r="AA44" i="7"/>
  <c r="Z44" i="7"/>
  <c r="Y44" i="7"/>
  <c r="X44" i="7"/>
  <c r="W44" i="7"/>
  <c r="I44" i="7"/>
  <c r="H44" i="7"/>
  <c r="G44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I43" i="7"/>
  <c r="H43" i="7"/>
  <c r="G43" i="7"/>
  <c r="F43" i="7"/>
  <c r="E43" i="7"/>
  <c r="D43" i="7"/>
  <c r="C43" i="7"/>
  <c r="AH42" i="7"/>
  <c r="AG42" i="7"/>
  <c r="AF42" i="7"/>
  <c r="AE42" i="7"/>
  <c r="AD42" i="7"/>
  <c r="AC42" i="7"/>
  <c r="AB42" i="7"/>
  <c r="AA42" i="7"/>
  <c r="Z42" i="7"/>
  <c r="Y42" i="7"/>
  <c r="X42" i="7"/>
  <c r="W42" i="7"/>
  <c r="R42" i="7"/>
  <c r="Q42" i="7"/>
  <c r="P42" i="7"/>
  <c r="O42" i="7"/>
  <c r="N42" i="7"/>
  <c r="M42" i="7"/>
  <c r="L42" i="7"/>
  <c r="K42" i="7"/>
  <c r="I42" i="7"/>
  <c r="H42" i="7"/>
  <c r="G42" i="7"/>
  <c r="E42" i="7"/>
  <c r="D42" i="7"/>
  <c r="C42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I41" i="7"/>
  <c r="H41" i="7"/>
  <c r="G41" i="7"/>
  <c r="F41" i="7"/>
  <c r="E41" i="7"/>
  <c r="D41" i="7"/>
  <c r="AH38" i="7"/>
  <c r="AG38" i="7"/>
  <c r="AF38" i="7"/>
  <c r="AE38" i="7"/>
  <c r="AD38" i="7"/>
  <c r="AC38" i="7"/>
  <c r="AB38" i="7"/>
  <c r="AA38" i="7"/>
  <c r="Z38" i="7"/>
  <c r="Y38" i="7"/>
  <c r="X38" i="7"/>
  <c r="W38" i="7"/>
  <c r="I38" i="7"/>
  <c r="H38" i="7"/>
  <c r="G38" i="7"/>
  <c r="V35" i="7"/>
  <c r="V44" i="7" s="1"/>
  <c r="U35" i="7"/>
  <c r="U44" i="7" s="1"/>
  <c r="T35" i="7"/>
  <c r="T44" i="7" s="1"/>
  <c r="S35" i="7"/>
  <c r="S44" i="7" s="1"/>
  <c r="R35" i="7"/>
  <c r="R38" i="7" s="1"/>
  <c r="Q35" i="7"/>
  <c r="Q44" i="7" s="1"/>
  <c r="P35" i="7"/>
  <c r="P44" i="7" s="1"/>
  <c r="O35" i="7"/>
  <c r="O44" i="7" s="1"/>
  <c r="N35" i="7"/>
  <c r="N44" i="7" s="1"/>
  <c r="M35" i="7"/>
  <c r="M44" i="7" s="1"/>
  <c r="L35" i="7"/>
  <c r="L44" i="7" s="1"/>
  <c r="K35" i="7"/>
  <c r="K44" i="7" s="1"/>
  <c r="F35" i="7"/>
  <c r="F44" i="7" s="1"/>
  <c r="E35" i="7"/>
  <c r="E44" i="7" s="1"/>
  <c r="D35" i="7"/>
  <c r="D44" i="7" s="1"/>
  <c r="C35" i="7"/>
  <c r="C44" i="7" s="1"/>
  <c r="V33" i="7"/>
  <c r="V42" i="7" s="1"/>
  <c r="U33" i="7"/>
  <c r="U38" i="7" s="1"/>
  <c r="T33" i="7"/>
  <c r="T42" i="7" s="1"/>
  <c r="S33" i="7"/>
  <c r="S42" i="7" s="1"/>
  <c r="F33" i="7"/>
  <c r="F42" i="7" s="1"/>
  <c r="C32" i="7"/>
  <c r="C38" i="7" s="1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I23" i="7"/>
  <c r="H23" i="7"/>
  <c r="G23" i="7"/>
  <c r="F23" i="7"/>
  <c r="E23" i="7"/>
  <c r="D23" i="7"/>
  <c r="C19" i="7"/>
  <c r="C23" i="7" s="1"/>
  <c r="N15" i="7"/>
  <c r="M15" i="7"/>
  <c r="L15" i="7"/>
  <c r="K15" i="7"/>
  <c r="AH11" i="7"/>
  <c r="AG11" i="7"/>
  <c r="AF11" i="7"/>
  <c r="AE11" i="7"/>
  <c r="AD11" i="7"/>
  <c r="AC11" i="7"/>
  <c r="AB11" i="7"/>
  <c r="AA11" i="7"/>
  <c r="AA45" i="7" s="1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I11" i="7"/>
  <c r="H11" i="7"/>
  <c r="H16" i="7" s="1"/>
  <c r="H15" i="7" s="1"/>
  <c r="G11" i="7"/>
  <c r="G45" i="7" s="1"/>
  <c r="F11" i="7"/>
  <c r="E11" i="7"/>
  <c r="D11" i="7"/>
  <c r="C7" i="7"/>
  <c r="C11" i="7" s="1"/>
  <c r="D16" i="7" l="1"/>
  <c r="D15" i="7" s="1"/>
  <c r="R45" i="7"/>
  <c r="N38" i="7"/>
  <c r="N45" i="7" s="1"/>
  <c r="O38" i="7"/>
  <c r="O45" i="7" s="1"/>
  <c r="Y16" i="7"/>
  <c r="Y15" i="7" s="1"/>
  <c r="S38" i="7"/>
  <c r="R44" i="7"/>
  <c r="R16" i="7"/>
  <c r="R15" i="7" s="1"/>
  <c r="AH16" i="7"/>
  <c r="AH15" i="7" s="1"/>
  <c r="C45" i="7"/>
  <c r="AG16" i="7"/>
  <c r="AG15" i="7" s="1"/>
  <c r="E16" i="7"/>
  <c r="E15" i="7" s="1"/>
  <c r="I16" i="7"/>
  <c r="I15" i="7" s="1"/>
  <c r="V16" i="7"/>
  <c r="V15" i="7" s="1"/>
  <c r="Z16" i="7"/>
  <c r="Z15" i="7" s="1"/>
  <c r="AD16" i="7"/>
  <c r="AD15" i="7" s="1"/>
  <c r="U45" i="7"/>
  <c r="T38" i="7"/>
  <c r="T45" i="7" s="1"/>
  <c r="AC45" i="7"/>
  <c r="F16" i="7"/>
  <c r="F15" i="7" s="1"/>
  <c r="O16" i="7"/>
  <c r="O15" i="7" s="1"/>
  <c r="S45" i="7"/>
  <c r="W16" i="7"/>
  <c r="W15" i="7" s="1"/>
  <c r="AE16" i="7"/>
  <c r="AE15" i="7" s="1"/>
  <c r="K38" i="7"/>
  <c r="K45" i="7" s="1"/>
  <c r="P38" i="7"/>
  <c r="P45" i="7" s="1"/>
  <c r="V38" i="7"/>
  <c r="V45" i="7" s="1"/>
  <c r="Z45" i="7"/>
  <c r="AD45" i="7"/>
  <c r="AH45" i="7"/>
  <c r="Q16" i="7"/>
  <c r="Q15" i="7" s="1"/>
  <c r="U16" i="7"/>
  <c r="U15" i="7" s="1"/>
  <c r="AC16" i="7"/>
  <c r="AC15" i="7" s="1"/>
  <c r="H45" i="7"/>
  <c r="I45" i="7"/>
  <c r="Y45" i="7"/>
  <c r="AG45" i="7"/>
  <c r="X45" i="7"/>
  <c r="AB45" i="7"/>
  <c r="AF45" i="7"/>
  <c r="L38" i="7"/>
  <c r="L45" i="7" s="1"/>
  <c r="S16" i="7"/>
  <c r="S15" i="7" s="1"/>
  <c r="AA16" i="7"/>
  <c r="AA15" i="7" s="1"/>
  <c r="E38" i="7"/>
  <c r="E45" i="7" s="1"/>
  <c r="W45" i="7"/>
  <c r="AE45" i="7"/>
  <c r="G16" i="7"/>
  <c r="G15" i="7" s="1"/>
  <c r="P16" i="7"/>
  <c r="P15" i="7" s="1"/>
  <c r="T16" i="7"/>
  <c r="T15" i="7" s="1"/>
  <c r="X16" i="7"/>
  <c r="X15" i="7" s="1"/>
  <c r="AB16" i="7"/>
  <c r="AB15" i="7" s="1"/>
  <c r="AF16" i="7"/>
  <c r="AF15" i="7" s="1"/>
  <c r="F38" i="7"/>
  <c r="F45" i="7" s="1"/>
  <c r="C41" i="7"/>
  <c r="U42" i="7"/>
  <c r="D38" i="7"/>
  <c r="D45" i="7" s="1"/>
  <c r="M38" i="7"/>
  <c r="M45" i="7" s="1"/>
  <c r="Q38" i="7"/>
  <c r="Q45" i="7" s="1"/>
  <c r="J38" i="4" l="1"/>
  <c r="L38" i="4" s="1"/>
  <c r="Q38" i="4"/>
  <c r="Q55" i="4" s="1"/>
  <c r="G38" i="4"/>
  <c r="G24" i="4"/>
  <c r="L24" i="4"/>
  <c r="Q24" i="4"/>
  <c r="Q11" i="4"/>
  <c r="L11" i="4"/>
  <c r="Q35" i="4"/>
  <c r="Q52" i="4" s="1"/>
  <c r="Q36" i="4"/>
  <c r="Q53" i="4" s="1"/>
  <c r="Q37" i="4"/>
  <c r="Q54" i="4" s="1"/>
  <c r="Q62" i="4" s="1"/>
  <c r="L35" i="4"/>
  <c r="L36" i="4"/>
  <c r="L34" i="4"/>
  <c r="G35" i="4"/>
  <c r="G36" i="4"/>
  <c r="G37" i="4"/>
  <c r="G34" i="4"/>
  <c r="Q22" i="4"/>
  <c r="Q23" i="4"/>
  <c r="Q21" i="4"/>
  <c r="L22" i="4"/>
  <c r="L23" i="4"/>
  <c r="L21" i="4"/>
  <c r="G22" i="4"/>
  <c r="G23" i="4"/>
  <c r="G21" i="4"/>
  <c r="Q9" i="4"/>
  <c r="Q10" i="4"/>
  <c r="Q8" i="4"/>
  <c r="L9" i="4"/>
  <c r="L10" i="4"/>
  <c r="L8" i="4"/>
  <c r="G11" i="4"/>
  <c r="G9" i="4"/>
  <c r="G10" i="4"/>
  <c r="G8" i="4"/>
  <c r="Q37" i="3"/>
  <c r="Q54" i="3" s="1"/>
  <c r="Q34" i="3"/>
  <c r="Q51" i="3" s="1"/>
  <c r="Q35" i="3"/>
  <c r="Q52" i="3" s="1"/>
  <c r="Q36" i="3"/>
  <c r="Q53" i="3" s="1"/>
  <c r="Q33" i="3"/>
  <c r="Q50" i="3" s="1"/>
  <c r="L37" i="3"/>
  <c r="L34" i="3"/>
  <c r="L35" i="3"/>
  <c r="L36" i="3"/>
  <c r="L33" i="3"/>
  <c r="G37" i="3"/>
  <c r="G34" i="3"/>
  <c r="G35" i="3"/>
  <c r="G36" i="3"/>
  <c r="G33" i="3"/>
  <c r="Q23" i="3"/>
  <c r="Q21" i="3"/>
  <c r="Q22" i="3"/>
  <c r="Q20" i="3"/>
  <c r="L23" i="3"/>
  <c r="L21" i="3"/>
  <c r="L22" i="3"/>
  <c r="L20" i="3"/>
  <c r="G23" i="3"/>
  <c r="G10" i="3"/>
  <c r="Q10" i="3"/>
  <c r="Q8" i="3"/>
  <c r="Q9" i="3"/>
  <c r="Q7" i="3"/>
  <c r="G21" i="3"/>
  <c r="G22" i="3"/>
  <c r="G20" i="3"/>
  <c r="Q58" i="3" l="1"/>
  <c r="Q55" i="3"/>
  <c r="Q59" i="3"/>
  <c r="Q60" i="4"/>
  <c r="Q61" i="3"/>
  <c r="Q60" i="3"/>
  <c r="Q61" i="4"/>
  <c r="L10" i="3"/>
  <c r="L8" i="3"/>
  <c r="L9" i="3"/>
  <c r="L7" i="3"/>
  <c r="G8" i="3"/>
  <c r="G9" i="3"/>
  <c r="G7" i="3"/>
  <c r="P34" i="4" l="1"/>
  <c r="O34" i="4"/>
  <c r="K37" i="4"/>
  <c r="L37" i="4" s="1"/>
  <c r="Q34" i="4" l="1"/>
  <c r="Q51" i="4" s="1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Q59" i="4" l="1"/>
  <c r="Q56" i="4"/>
  <c r="Q63" i="4" s="1"/>
  <c r="F46" i="4"/>
  <c r="N46" i="4"/>
  <c r="C46" i="4"/>
  <c r="K46" i="4"/>
  <c r="O46" i="4"/>
  <c r="D46" i="4"/>
  <c r="H46" i="4"/>
  <c r="E46" i="4"/>
  <c r="I46" i="4"/>
  <c r="M46" i="4"/>
  <c r="Q46" i="4"/>
  <c r="G46" i="4"/>
  <c r="J46" i="4"/>
  <c r="L46" i="4"/>
  <c r="P46" i="4"/>
  <c r="Q44" i="3"/>
  <c r="Q43" i="3"/>
  <c r="Q42" i="3"/>
  <c r="Q41" i="3"/>
  <c r="Q38" i="3"/>
  <c r="Q24" i="3"/>
  <c r="Q17" i="3"/>
  <c r="Q11" i="3"/>
  <c r="Q62" i="3" s="1"/>
  <c r="L44" i="3"/>
  <c r="L43" i="3"/>
  <c r="L42" i="3"/>
  <c r="L41" i="3"/>
  <c r="L38" i="3"/>
  <c r="L24" i="3"/>
  <c r="L17" i="3"/>
  <c r="L11" i="3"/>
  <c r="G44" i="3"/>
  <c r="G43" i="3"/>
  <c r="G42" i="3"/>
  <c r="G41" i="3"/>
  <c r="G38" i="3"/>
  <c r="G24" i="3"/>
  <c r="G17" i="3"/>
  <c r="G11" i="3"/>
  <c r="G45" i="3" l="1"/>
  <c r="L45" i="3"/>
  <c r="Q45" i="3"/>
  <c r="P42" i="3"/>
  <c r="O42" i="3"/>
  <c r="N42" i="3"/>
  <c r="M42" i="3"/>
  <c r="K42" i="3"/>
  <c r="J42" i="3"/>
  <c r="I42" i="3"/>
  <c r="H42" i="3"/>
  <c r="F42" i="3"/>
  <c r="E42" i="3"/>
  <c r="D42" i="3"/>
  <c r="C42" i="3"/>
  <c r="P17" i="3" l="1"/>
  <c r="O17" i="3"/>
  <c r="N17" i="3"/>
  <c r="M17" i="3"/>
  <c r="K17" i="3"/>
  <c r="J17" i="3"/>
  <c r="I17" i="3"/>
  <c r="H17" i="3"/>
  <c r="F17" i="3"/>
  <c r="E17" i="3"/>
  <c r="D17" i="3"/>
  <c r="C17" i="3"/>
  <c r="K44" i="3" l="1"/>
  <c r="H11" i="3"/>
  <c r="P44" i="3" l="1"/>
  <c r="O44" i="3"/>
  <c r="N44" i="3"/>
  <c r="M44" i="3"/>
  <c r="J44" i="3"/>
  <c r="I44" i="3"/>
  <c r="H44" i="3"/>
  <c r="P43" i="3"/>
  <c r="O43" i="3"/>
  <c r="N43" i="3"/>
  <c r="M43" i="3"/>
  <c r="K43" i="3"/>
  <c r="J43" i="3"/>
  <c r="I43" i="3"/>
  <c r="H43" i="3"/>
  <c r="N41" i="3"/>
  <c r="M41" i="3"/>
  <c r="K41" i="3"/>
  <c r="J41" i="3"/>
  <c r="I41" i="3"/>
  <c r="H41" i="3"/>
  <c r="N38" i="3"/>
  <c r="M38" i="3"/>
  <c r="I38" i="3"/>
  <c r="H38" i="3"/>
  <c r="J38" i="3"/>
  <c r="K38" i="3"/>
  <c r="P41" i="3"/>
  <c r="O41" i="3"/>
  <c r="P24" i="3"/>
  <c r="O24" i="3"/>
  <c r="N24" i="3"/>
  <c r="M24" i="3"/>
  <c r="K24" i="3"/>
  <c r="J24" i="3"/>
  <c r="I24" i="3"/>
  <c r="H24" i="3"/>
  <c r="P11" i="3"/>
  <c r="O11" i="3"/>
  <c r="N11" i="3"/>
  <c r="M11" i="3"/>
  <c r="K11" i="3"/>
  <c r="J11" i="3"/>
  <c r="I11" i="3"/>
  <c r="I45" i="3" l="1"/>
  <c r="K45" i="3"/>
  <c r="N45" i="3"/>
  <c r="H45" i="3"/>
  <c r="P38" i="3"/>
  <c r="P45" i="3" s="1"/>
  <c r="M45" i="3"/>
  <c r="J45" i="3"/>
  <c r="O38" i="3"/>
  <c r="O45" i="3" s="1"/>
  <c r="F44" i="3" l="1"/>
  <c r="E44" i="3"/>
  <c r="D44" i="3"/>
  <c r="C44" i="3"/>
  <c r="F43" i="3"/>
  <c r="E43" i="3"/>
  <c r="D43" i="3"/>
  <c r="C43" i="3"/>
  <c r="F41" i="3"/>
  <c r="E41" i="3"/>
  <c r="D41" i="3"/>
  <c r="C41" i="3"/>
  <c r="F38" i="3" l="1"/>
  <c r="E38" i="3"/>
  <c r="D38" i="3"/>
  <c r="C38" i="3"/>
  <c r="F24" i="3"/>
  <c r="E24" i="3"/>
  <c r="D24" i="3"/>
  <c r="C24" i="3"/>
  <c r="F11" i="3"/>
  <c r="E11" i="3"/>
  <c r="D11" i="3"/>
  <c r="C11" i="3"/>
  <c r="C45" i="3" l="1"/>
  <c r="D45" i="3"/>
  <c r="E45" i="3"/>
  <c r="F45" i="3"/>
</calcChain>
</file>

<file path=xl/sharedStrings.xml><?xml version="1.0" encoding="utf-8"?>
<sst xmlns="http://schemas.openxmlformats.org/spreadsheetml/2006/main" count="411" uniqueCount="154">
  <si>
    <t xml:space="preserve">Historical Segment Data </t>
  </si>
  <si>
    <t>Full Year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</si>
  <si>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</si>
  <si>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</si>
  <si>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</si>
  <si>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</si>
  <si>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</si>
  <si>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</si>
  <si>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</si>
  <si>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</si>
  <si>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</si>
  <si>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</si>
  <si>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</si>
  <si>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</si>
  <si>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</si>
  <si>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</si>
  <si>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</si>
  <si>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</si>
  <si>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</si>
  <si>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</si>
  <si>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</si>
  <si>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</si>
  <si>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</si>
  <si>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</si>
  <si>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</si>
  <si>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</si>
  <si>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Net Trade Sales</t>
  </si>
  <si>
    <t>Residential Furnishings</t>
  </si>
  <si>
    <t>Commercial Fixturing &amp; Components</t>
  </si>
  <si>
    <t>Industrial Materials</t>
  </si>
  <si>
    <t>Specialized Products</t>
  </si>
  <si>
    <t>Sum</t>
  </si>
  <si>
    <r>
      <t xml:space="preserve">Sales Growth  </t>
    </r>
    <r>
      <rPr>
        <sz val="10"/>
        <rFont val="Arial"/>
        <family val="2"/>
      </rPr>
      <t>(</t>
    </r>
    <r>
      <rPr>
        <sz val="8"/>
        <rFont val="Arial"/>
        <family val="2"/>
      </rPr>
      <t>N</t>
    </r>
    <r>
      <rPr>
        <i/>
        <sz val="8"/>
        <rFont val="Arial"/>
        <family val="2"/>
      </rPr>
      <t>et Trade Sales)</t>
    </r>
  </si>
  <si>
    <t>Organic</t>
  </si>
  <si>
    <t>Acquisition (net)</t>
  </si>
  <si>
    <t>Net Total Sales</t>
  </si>
  <si>
    <r>
      <t xml:space="preserve">Organic Growth  </t>
    </r>
    <r>
      <rPr>
        <b/>
        <sz val="8"/>
        <rFont val="Arial"/>
        <family val="2"/>
      </rPr>
      <t>(</t>
    </r>
    <r>
      <rPr>
        <i/>
        <sz val="8"/>
        <rFont val="Arial"/>
        <family val="2"/>
      </rPr>
      <t>Net Total Sales)</t>
    </r>
  </si>
  <si>
    <t>EBIT</t>
  </si>
  <si>
    <t>Intersegment Eliminations</t>
  </si>
  <si>
    <t>LIFO</t>
  </si>
  <si>
    <t>EBIT Margin</t>
  </si>
  <si>
    <t>Overall</t>
  </si>
  <si>
    <t xml:space="preserve"> Segments = EBIT / Total Sales</t>
  </si>
  <si>
    <t xml:space="preserve"> Overall = EBIT / Trade Sales</t>
  </si>
  <si>
    <t>Historical Segment Financial Data</t>
  </si>
  <si>
    <t xml:space="preserve">Continuing Operations </t>
  </si>
  <si>
    <t>1Q12</t>
  </si>
  <si>
    <t>2Q12</t>
  </si>
  <si>
    <t>3Q12</t>
  </si>
  <si>
    <t>4Q12</t>
  </si>
  <si>
    <t>FY12</t>
  </si>
  <si>
    <t>1Q13</t>
  </si>
  <si>
    <t>2Q13</t>
  </si>
  <si>
    <t>3Q13</t>
  </si>
  <si>
    <t>4Q13</t>
  </si>
  <si>
    <t>FY13</t>
  </si>
  <si>
    <t xml:space="preserve">1Q14 </t>
  </si>
  <si>
    <t>2Q14</t>
  </si>
  <si>
    <t>3Q14</t>
  </si>
  <si>
    <t>4Q14</t>
  </si>
  <si>
    <t>FY14</t>
  </si>
  <si>
    <r>
      <t xml:space="preserve">Net Trade Sales </t>
    </r>
    <r>
      <rPr>
        <b/>
        <u/>
        <vertAlign val="superscript"/>
        <sz val="8"/>
        <rFont val="Arial"/>
        <family val="2"/>
      </rPr>
      <t>1</t>
    </r>
  </si>
  <si>
    <t>Residential Products</t>
  </si>
  <si>
    <t>Industrial Products</t>
  </si>
  <si>
    <t>Furniture Products</t>
  </si>
  <si>
    <r>
      <t xml:space="preserve">Sales Growth  </t>
    </r>
    <r>
      <rPr>
        <i/>
        <sz val="8"/>
        <rFont val="Arial"/>
        <family val="2"/>
      </rPr>
      <t>(Net Trade Sales)</t>
    </r>
  </si>
  <si>
    <t>Acquisition</t>
  </si>
  <si>
    <t>Divestiture</t>
  </si>
  <si>
    <r>
      <t xml:space="preserve">Net Total Sales </t>
    </r>
    <r>
      <rPr>
        <b/>
        <u/>
        <vertAlign val="superscript"/>
        <sz val="8"/>
        <rFont val="Arial"/>
        <family val="2"/>
      </rPr>
      <t>1</t>
    </r>
  </si>
  <si>
    <r>
      <t>Organic Growth  (</t>
    </r>
    <r>
      <rPr>
        <i/>
        <sz val="8"/>
        <rFont val="Arial"/>
        <family val="2"/>
      </rPr>
      <t>Net Total Sales)</t>
    </r>
  </si>
  <si>
    <r>
      <t xml:space="preserve">EBIT </t>
    </r>
    <r>
      <rPr>
        <b/>
        <u/>
        <vertAlign val="superscript"/>
        <sz val="8"/>
        <rFont val="Arial"/>
        <family val="2"/>
      </rPr>
      <t>1,2</t>
    </r>
  </si>
  <si>
    <t>Intersegment Eliminations &amp; other</t>
  </si>
  <si>
    <r>
      <t xml:space="preserve">EBIT Margin </t>
    </r>
    <r>
      <rPr>
        <b/>
        <u/>
        <vertAlign val="superscript"/>
        <sz val="8"/>
        <rFont val="Arial"/>
        <family val="2"/>
      </rPr>
      <t>1</t>
    </r>
  </si>
  <si>
    <r>
      <t xml:space="preserve">EBITDA </t>
    </r>
    <r>
      <rPr>
        <b/>
        <u/>
        <vertAlign val="superscript"/>
        <sz val="8"/>
        <rFont val="Arial"/>
        <family val="2"/>
      </rPr>
      <t>1,2</t>
    </r>
  </si>
  <si>
    <t>Intersegment Elims &amp; Unallocated D&amp;A</t>
  </si>
  <si>
    <r>
      <t xml:space="preserve">EBITDA Margin </t>
    </r>
    <r>
      <rPr>
        <b/>
        <u/>
        <vertAlign val="superscript"/>
        <sz val="8"/>
        <rFont val="Arial"/>
        <family val="2"/>
      </rPr>
      <t>1</t>
    </r>
  </si>
  <si>
    <t xml:space="preserve"> Segments = EBITDA / Total Sales</t>
  </si>
  <si>
    <t xml:space="preserve"> Overall = EBITDA / Trade Sales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</si>
  <si>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Excludes discontinued operations.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</si>
  <si>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LIFO impact is now recognized within the segment to which it relates.</t>
    </r>
  </si>
  <si>
    <r>
      <t xml:space="preserve">(adjusted for unusual items) </t>
    </r>
    <r>
      <rPr>
        <b/>
        <vertAlign val="superscript"/>
        <sz val="11"/>
        <rFont val="Arial"/>
        <family val="2"/>
      </rPr>
      <t>3</t>
    </r>
  </si>
  <si>
    <r>
      <t xml:space="preserve">EBIT </t>
    </r>
    <r>
      <rPr>
        <b/>
        <u/>
        <vertAlign val="superscript"/>
        <sz val="8"/>
        <rFont val="Arial"/>
        <family val="2"/>
      </rPr>
      <t>1, 2</t>
    </r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</si>
  <si>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Excludes discontinued operations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</si>
  <si>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LIFO impact recognized within the segment to which it relates.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</si>
  <si>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See Appendix - Non-GAAP Adjustments. </t>
    </r>
  </si>
  <si>
    <t>Segment Financial Data</t>
  </si>
  <si>
    <t>1Q15</t>
  </si>
  <si>
    <t>2Q15</t>
  </si>
  <si>
    <t>3Q15</t>
  </si>
  <si>
    <t>4Q15</t>
  </si>
  <si>
    <t>FY15</t>
  </si>
  <si>
    <t>1Q16</t>
  </si>
  <si>
    <t>2Q16</t>
  </si>
  <si>
    <t>3Q16</t>
  </si>
  <si>
    <t>4Q16</t>
  </si>
  <si>
    <t>FY16</t>
  </si>
  <si>
    <t>1Q17</t>
  </si>
  <si>
    <t>2Q17</t>
  </si>
  <si>
    <t>3Q17</t>
  </si>
  <si>
    <t>4Q17</t>
  </si>
  <si>
    <t>FY17</t>
  </si>
  <si>
    <t>1Q18</t>
  </si>
  <si>
    <t>2Q18</t>
  </si>
  <si>
    <t>3Q18</t>
  </si>
  <si>
    <t>4Q18</t>
  </si>
  <si>
    <t>FY18</t>
  </si>
  <si>
    <t>1Q19</t>
  </si>
  <si>
    <t>2Q19</t>
  </si>
  <si>
    <t>3Q19</t>
  </si>
  <si>
    <t>4Q19</t>
  </si>
  <si>
    <t>FY19</t>
  </si>
  <si>
    <t>1Q20</t>
  </si>
  <si>
    <t>2Q20</t>
  </si>
  <si>
    <t>3Q20</t>
  </si>
  <si>
    <t>4Q20</t>
  </si>
  <si>
    <t>FY20</t>
  </si>
  <si>
    <t>1Q21</t>
  </si>
  <si>
    <t>2Q21</t>
  </si>
  <si>
    <t>3Q21</t>
  </si>
  <si>
    <t>4Q21</t>
  </si>
  <si>
    <t>FY21</t>
  </si>
  <si>
    <t>1Q22</t>
  </si>
  <si>
    <t>2Q22</t>
  </si>
  <si>
    <t>3Q22</t>
  </si>
  <si>
    <t>4Q22</t>
  </si>
  <si>
    <t>FY22</t>
  </si>
  <si>
    <t>1Q23</t>
  </si>
  <si>
    <t>2Q23</t>
  </si>
  <si>
    <t>3Q23</t>
  </si>
  <si>
    <t>4Q23</t>
  </si>
  <si>
    <t>FY23</t>
  </si>
  <si>
    <t>1Q24</t>
  </si>
  <si>
    <t>2Q24</t>
  </si>
  <si>
    <t>3Q24</t>
  </si>
  <si>
    <t>4Q24</t>
  </si>
  <si>
    <t>FY24</t>
  </si>
  <si>
    <t>1Q25</t>
  </si>
  <si>
    <t>2Q25</t>
  </si>
  <si>
    <t>3Q25</t>
  </si>
  <si>
    <t>4Q25</t>
  </si>
  <si>
    <t>FY25</t>
  </si>
  <si>
    <t>Bedding Products</t>
  </si>
  <si>
    <t>Furniture, Flooring &amp; Textile Products</t>
  </si>
  <si>
    <r>
      <t xml:space="preserve">Organic Growth 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Net Total Sales for 2015-2017, Net Trade Sales for 2018- )</t>
    </r>
  </si>
  <si>
    <r>
      <t xml:space="preserve">EBIT </t>
    </r>
    <r>
      <rPr>
        <b/>
        <u/>
        <vertAlign val="superscript"/>
        <sz val="8"/>
        <rFont val="Arial"/>
        <family val="2"/>
      </rPr>
      <t>1,3</t>
    </r>
  </si>
  <si>
    <r>
      <t xml:space="preserve">EBIT Margin </t>
    </r>
    <r>
      <rPr>
        <b/>
        <u/>
        <vertAlign val="superscript"/>
        <sz val="8"/>
        <rFont val="Arial"/>
        <family val="2"/>
      </rPr>
      <t>1,2,3</t>
    </r>
  </si>
  <si>
    <r>
      <t xml:space="preserve">EBITDA </t>
    </r>
    <r>
      <rPr>
        <b/>
        <u/>
        <vertAlign val="superscript"/>
        <sz val="8"/>
        <rFont val="Arial"/>
        <family val="2"/>
      </rPr>
      <t>1,3</t>
    </r>
  </si>
  <si>
    <r>
      <t xml:space="preserve">EBITDA Margin </t>
    </r>
    <r>
      <rPr>
        <b/>
        <u/>
        <vertAlign val="superscript"/>
        <sz val="8"/>
        <rFont val="Arial"/>
        <family val="2"/>
      </rPr>
      <t>1,2,3</t>
    </r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</si>
  <si>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Sales, EBIT, EBITDA, and margin reflects new segment structure and excludes discontinued operations.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</si>
  <si>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Effective 1Q20, segment EBIT and EBITDA margins will be calculated on Net Trade Sales; historical segment EBIT and EBITDA margins have been revised to reflect the calcuation change.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</si>
  <si>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Effective 1Q21, the accounting methodology for valuing domestic steel-related inventory changed from LIFO to FIFO. 2015 - 2020 financial data has been adjusted to apply the effects of the change.</t>
    </r>
  </si>
  <si>
    <r>
      <t xml:space="preserve">(adjusted for unusual items) </t>
    </r>
    <r>
      <rPr>
        <b/>
        <vertAlign val="superscript"/>
        <sz val="11"/>
        <rFont val="Arial"/>
        <family val="2"/>
      </rPr>
      <t>4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</si>
  <si>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Effective 1Q20, segment EBIT and EBITDA margins will be calculated on Net Trade Sales; historical segment EBIT and EBITDA margins have been revised to reflect the calculation change.</t>
    </r>
  </si>
  <si>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 xml:space="preserve"> See Appendix - Non-GAAP Adjustments.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</si>
</sst>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0.0_);\(0.0\)"/>
    <numFmt numFmtId="166" formatCode="0.0"/>
    <numFmt numFmtId="167" formatCode="0_);\(0\)"/>
    <numFmt numFmtId="168" formatCode="0.0%_);\(0.0%\)"/>
    <numFmt numFmtId="169" formatCode="_(* #,##0.0_);_(* \(#,##0.0\);_(* &quot;-&quot;??_);_(@_)"/>
    <numFmt numFmtId="170" formatCode="0.0000000000000_);\(0.0000000000000\)"/>
    <numFmt numFmtId="171" formatCode="0.0%;[Red]\(0.0%\)"/>
    <numFmt numFmtId="172" formatCode="_(* #,##0.000_);_(* \(#,##0.000\);_(* &quot;-&quot;??_);_(@_)"/>
    <numFmt numFmtId="173" formatCode="_(* #,##0.0000_);_(* \(#,##0.0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vertAlign val="superscript"/>
      <sz val="8"/>
      <name val="Arial"/>
      <family val="2"/>
    </font>
    <font>
      <u/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169" fontId="8" fillId="0" borderId="3" xfId="2" applyNumberFormat="1" applyFont="1" applyBorder="1"/>
    <xf numFmtId="169" fontId="8" fillId="0" borderId="0" xfId="2" applyNumberFormat="1" applyFont="1"/>
    <xf numFmtId="169" fontId="8" fillId="0" borderId="1" xfId="2" applyNumberFormat="1" applyFont="1" applyBorder="1"/>
    <xf numFmtId="169" fontId="11" fillId="0" borderId="3" xfId="2" applyNumberFormat="1" applyFont="1" applyBorder="1"/>
    <xf numFmtId="169" fontId="11" fillId="0" borderId="0" xfId="2" applyNumberFormat="1" applyFont="1"/>
    <xf numFmtId="169" fontId="11" fillId="0" borderId="1" xfId="2" applyNumberFormat="1" applyFont="1" applyBorder="1"/>
    <xf numFmtId="0" fontId="4" fillId="0" borderId="0" xfId="0" applyFont="1"/>
    <xf numFmtId="169" fontId="4" fillId="0" borderId="3" xfId="0" applyNumberFormat="1" applyFont="1" applyBorder="1"/>
    <xf numFmtId="169" fontId="4" fillId="0" borderId="0" xfId="0" applyNumberFormat="1" applyFont="1"/>
    <xf numFmtId="169" fontId="4" fillId="0" borderId="1" xfId="0" applyNumberFormat="1" applyFont="1" applyBorder="1"/>
    <xf numFmtId="169" fontId="4" fillId="0" borderId="3" xfId="2" applyNumberFormat="1" applyFont="1" applyBorder="1"/>
    <xf numFmtId="169" fontId="4" fillId="0" borderId="0" xfId="2" applyNumberFormat="1" applyFont="1"/>
    <xf numFmtId="169" fontId="4" fillId="0" borderId="1" xfId="2" applyNumberFormat="1" applyFont="1" applyBorder="1"/>
    <xf numFmtId="1" fontId="4" fillId="0" borderId="3" xfId="0" applyNumberFormat="1" applyFont="1" applyBorder="1"/>
    <xf numFmtId="1" fontId="4" fillId="0" borderId="0" xfId="0" applyNumberFormat="1" applyFont="1"/>
    <xf numFmtId="1" fontId="4" fillId="0" borderId="1" xfId="0" applyNumberFormat="1" applyFont="1" applyBorder="1"/>
    <xf numFmtId="168" fontId="8" fillId="0" borderId="3" xfId="1" applyNumberFormat="1" applyFont="1" applyFill="1" applyBorder="1"/>
    <xf numFmtId="168" fontId="8" fillId="0" borderId="0" xfId="1" applyNumberFormat="1" applyFont="1" applyFill="1" applyBorder="1"/>
    <xf numFmtId="168" fontId="8" fillId="0" borderId="1" xfId="1" applyNumberFormat="1" applyFont="1" applyFill="1" applyBorder="1"/>
    <xf numFmtId="168" fontId="8" fillId="0" borderId="0" xfId="1" applyNumberFormat="1" applyFont="1" applyBorder="1"/>
    <xf numFmtId="166" fontId="8" fillId="0" borderId="3" xfId="0" applyNumberFormat="1" applyFont="1" applyBorder="1"/>
    <xf numFmtId="166" fontId="8" fillId="0" borderId="0" xfId="0" applyNumberFormat="1" applyFont="1"/>
    <xf numFmtId="1" fontId="8" fillId="0" borderId="0" xfId="0" applyNumberFormat="1" applyFont="1"/>
    <xf numFmtId="1" fontId="8" fillId="0" borderId="1" xfId="0" applyNumberFormat="1" applyFont="1" applyBorder="1"/>
    <xf numFmtId="165" fontId="8" fillId="0" borderId="3" xfId="0" applyNumberFormat="1" applyFont="1" applyBorder="1"/>
    <xf numFmtId="165" fontId="8" fillId="0" borderId="0" xfId="0" applyNumberFormat="1" applyFont="1"/>
    <xf numFmtId="165" fontId="8" fillId="0" borderId="1" xfId="0" applyNumberFormat="1" applyFont="1" applyBorder="1"/>
    <xf numFmtId="165" fontId="4" fillId="0" borderId="3" xfId="0" applyNumberFormat="1" applyFont="1" applyBorder="1"/>
    <xf numFmtId="165" fontId="4" fillId="0" borderId="0" xfId="0" applyNumberFormat="1" applyFont="1"/>
    <xf numFmtId="165" fontId="4" fillId="0" borderId="1" xfId="0" applyNumberFormat="1" applyFont="1" applyBorder="1"/>
    <xf numFmtId="168" fontId="8" fillId="0" borderId="3" xfId="1" applyNumberFormat="1" applyFont="1" applyBorder="1"/>
    <xf numFmtId="168" fontId="8" fillId="0" borderId="1" xfId="1" applyNumberFormat="1" applyFont="1" applyBorder="1"/>
    <xf numFmtId="168" fontId="4" fillId="0" borderId="3" xfId="1" applyNumberFormat="1" applyFont="1" applyBorder="1"/>
    <xf numFmtId="168" fontId="4" fillId="0" borderId="0" xfId="1" applyNumberFormat="1" applyFont="1" applyBorder="1"/>
    <xf numFmtId="168" fontId="4" fillId="0" borderId="1" xfId="1" applyNumberFormat="1" applyFont="1" applyBorder="1"/>
    <xf numFmtId="164" fontId="4" fillId="0" borderId="0" xfId="1" applyNumberFormat="1" applyFont="1" applyBorder="1"/>
    <xf numFmtId="167" fontId="4" fillId="0" borderId="0" xfId="0" applyNumberFormat="1" applyFont="1"/>
    <xf numFmtId="0" fontId="7" fillId="0" borderId="0" xfId="0" applyFont="1" applyAlignment="1">
      <alignment horizontal="left"/>
    </xf>
    <xf numFmtId="169" fontId="8" fillId="0" borderId="0" xfId="2" applyNumberFormat="1" applyFont="1" applyBorder="1"/>
    <xf numFmtId="169" fontId="11" fillId="0" borderId="0" xfId="2" applyNumberFormat="1" applyFont="1" applyBorder="1"/>
    <xf numFmtId="169" fontId="4" fillId="0" borderId="0" xfId="2" applyNumberFormat="1" applyFont="1" applyBorder="1"/>
    <xf numFmtId="0" fontId="14" fillId="0" borderId="0" xfId="0" applyFont="1" applyAlignment="1">
      <alignment horizontal="left"/>
    </xf>
    <xf numFmtId="164" fontId="13" fillId="0" borderId="0" xfId="1" applyNumberFormat="1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" fillId="0" borderId="1" xfId="0" applyFont="1" applyBorder="1"/>
    <xf numFmtId="0" fontId="16" fillId="0" borderId="0" xfId="0" applyFont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" fillId="0" borderId="3" xfId="0" applyFont="1" applyBorder="1"/>
    <xf numFmtId="167" fontId="1" fillId="0" borderId="0" xfId="0" applyNumberFormat="1" applyFont="1"/>
    <xf numFmtId="167" fontId="1" fillId="0" borderId="3" xfId="0" applyNumberFormat="1" applyFont="1" applyBorder="1"/>
    <xf numFmtId="167" fontId="1" fillId="0" borderId="1" xfId="0" applyNumberFormat="1" applyFont="1" applyBorder="1"/>
    <xf numFmtId="167" fontId="17" fillId="0" borderId="0" xfId="0" applyNumberFormat="1" applyFont="1"/>
    <xf numFmtId="167" fontId="17" fillId="0" borderId="3" xfId="0" applyNumberFormat="1" applyFont="1" applyBorder="1"/>
    <xf numFmtId="167" fontId="17" fillId="0" borderId="1" xfId="0" applyNumberFormat="1" applyFont="1" applyBorder="1"/>
    <xf numFmtId="0" fontId="13" fillId="0" borderId="0" xfId="0" applyFont="1"/>
    <xf numFmtId="167" fontId="13" fillId="0" borderId="0" xfId="0" applyNumberFormat="1" applyFont="1"/>
    <xf numFmtId="167" fontId="13" fillId="0" borderId="3" xfId="0" applyNumberFormat="1" applyFont="1" applyBorder="1"/>
    <xf numFmtId="167" fontId="13" fillId="0" borderId="1" xfId="0" applyNumberFormat="1" applyFont="1" applyBorder="1"/>
    <xf numFmtId="170" fontId="1" fillId="0" borderId="0" xfId="0" applyNumberFormat="1" applyFont="1"/>
    <xf numFmtId="1" fontId="13" fillId="0" borderId="3" xfId="0" applyNumberFormat="1" applyFont="1" applyBorder="1"/>
    <xf numFmtId="1" fontId="13" fillId="0" borderId="0" xfId="0" applyNumberFormat="1" applyFont="1"/>
    <xf numFmtId="1" fontId="13" fillId="0" borderId="1" xfId="0" applyNumberFormat="1" applyFont="1" applyBorder="1"/>
    <xf numFmtId="164" fontId="18" fillId="2" borderId="0" xfId="1" applyNumberFormat="1" applyFont="1" applyFill="1" applyBorder="1"/>
    <xf numFmtId="168" fontId="18" fillId="0" borderId="0" xfId="1" applyNumberFormat="1" applyFont="1" applyBorder="1"/>
    <xf numFmtId="168" fontId="18" fillId="0" borderId="3" xfId="1" applyNumberFormat="1" applyFont="1" applyFill="1" applyBorder="1"/>
    <xf numFmtId="168" fontId="18" fillId="0" borderId="0" xfId="1" applyNumberFormat="1" applyFont="1" applyFill="1" applyBorder="1"/>
    <xf numFmtId="168" fontId="18" fillId="0" borderId="1" xfId="1" applyNumberFormat="1" applyFont="1" applyFill="1" applyBorder="1"/>
    <xf numFmtId="166" fontId="1" fillId="0" borderId="3" xfId="0" applyNumberFormat="1" applyFont="1" applyBorder="1"/>
    <xf numFmtId="166" fontId="1" fillId="0" borderId="0" xfId="0" applyNumberFormat="1" applyFont="1"/>
    <xf numFmtId="1" fontId="1" fillId="0" borderId="0" xfId="0" applyNumberFormat="1" applyFont="1"/>
    <xf numFmtId="1" fontId="1" fillId="0" borderId="1" xfId="0" applyNumberFormat="1" applyFont="1" applyBorder="1"/>
    <xf numFmtId="171" fontId="18" fillId="2" borderId="0" xfId="1" applyNumberFormat="1" applyFont="1" applyFill="1" applyBorder="1"/>
    <xf numFmtId="165" fontId="1" fillId="0" borderId="0" xfId="0" applyNumberFormat="1" applyFont="1"/>
    <xf numFmtId="165" fontId="1" fillId="0" borderId="3" xfId="0" applyNumberFormat="1" applyFont="1" applyBorder="1"/>
    <xf numFmtId="165" fontId="1" fillId="0" borderId="1" xfId="0" applyNumberFormat="1" applyFont="1" applyBorder="1"/>
    <xf numFmtId="165" fontId="17" fillId="0" borderId="0" xfId="0" applyNumberFormat="1" applyFont="1"/>
    <xf numFmtId="165" fontId="17" fillId="0" borderId="3" xfId="0" applyNumberFormat="1" applyFont="1" applyBorder="1"/>
    <xf numFmtId="165" fontId="17" fillId="0" borderId="1" xfId="0" applyNumberFormat="1" applyFont="1" applyBorder="1"/>
    <xf numFmtId="165" fontId="13" fillId="0" borderId="0" xfId="0" applyNumberFormat="1" applyFont="1"/>
    <xf numFmtId="165" fontId="13" fillId="0" borderId="3" xfId="0" applyNumberFormat="1" applyFont="1" applyBorder="1"/>
    <xf numFmtId="165" fontId="13" fillId="0" borderId="1" xfId="0" applyNumberFormat="1" applyFont="1" applyBorder="1"/>
    <xf numFmtId="168" fontId="18" fillId="0" borderId="3" xfId="1" applyNumberFormat="1" applyFont="1" applyBorder="1"/>
    <xf numFmtId="168" fontId="18" fillId="0" borderId="1" xfId="1" applyNumberFormat="1" applyFont="1" applyBorder="1"/>
    <xf numFmtId="0" fontId="3" fillId="0" borderId="0" xfId="0" quotePrefix="1" applyFont="1"/>
    <xf numFmtId="0" fontId="19" fillId="0" borderId="0" xfId="0" applyFont="1"/>
    <xf numFmtId="168" fontId="20" fillId="0" borderId="0" xfId="1" applyNumberFormat="1" applyFont="1" applyFill="1" applyBorder="1"/>
    <xf numFmtId="168" fontId="20" fillId="0" borderId="0" xfId="1" applyNumberFormat="1" applyFont="1" applyBorder="1"/>
    <xf numFmtId="168" fontId="20" fillId="0" borderId="3" xfId="1" applyNumberFormat="1" applyFont="1" applyBorder="1"/>
    <xf numFmtId="168" fontId="20" fillId="0" borderId="1" xfId="1" applyNumberFormat="1" applyFont="1" applyBorder="1"/>
    <xf numFmtId="0" fontId="9" fillId="0" borderId="10" xfId="0" applyFont="1" applyBorder="1" applyAlignment="1">
      <alignment horizontal="center"/>
    </xf>
    <xf numFmtId="0" fontId="8" fillId="0" borderId="11" xfId="0" applyFont="1" applyBorder="1"/>
    <xf numFmtId="169" fontId="8" fillId="0" borderId="11" xfId="2" applyNumberFormat="1" applyFont="1" applyBorder="1"/>
    <xf numFmtId="169" fontId="11" fillId="0" borderId="11" xfId="2" applyNumberFormat="1" applyFont="1" applyBorder="1"/>
    <xf numFmtId="169" fontId="4" fillId="0" borderId="11" xfId="2" applyNumberFormat="1" applyFont="1" applyBorder="1"/>
    <xf numFmtId="168" fontId="8" fillId="0" borderId="11" xfId="1" applyNumberFormat="1" applyFont="1" applyBorder="1"/>
    <xf numFmtId="168" fontId="8" fillId="0" borderId="11" xfId="1" applyNumberFormat="1" applyFont="1" applyFill="1" applyBorder="1"/>
    <xf numFmtId="165" fontId="8" fillId="0" borderId="11" xfId="0" applyNumberFormat="1" applyFont="1" applyBorder="1"/>
    <xf numFmtId="165" fontId="4" fillId="0" borderId="11" xfId="0" applyNumberFormat="1" applyFont="1" applyBorder="1"/>
    <xf numFmtId="168" fontId="4" fillId="0" borderId="11" xfId="1" applyNumberFormat="1" applyFont="1" applyBorder="1"/>
    <xf numFmtId="0" fontId="22" fillId="0" borderId="0" xfId="0" applyFont="1"/>
    <xf numFmtId="0" fontId="21" fillId="0" borderId="0" xfId="0" applyFont="1"/>
    <xf numFmtId="164" fontId="21" fillId="0" borderId="0" xfId="1" applyNumberFormat="1" applyFont="1" applyBorder="1"/>
    <xf numFmtId="164" fontId="4" fillId="0" borderId="3" xfId="1" applyNumberFormat="1" applyFont="1" applyBorder="1"/>
    <xf numFmtId="172" fontId="8" fillId="0" borderId="0" xfId="0" applyNumberFormat="1" applyFont="1"/>
    <xf numFmtId="173" fontId="8" fillId="0" borderId="0" xfId="0" applyNumberFormat="1" applyFont="1"/>
    <xf numFmtId="169" fontId="11" fillId="0" borderId="3" xfId="2" applyNumberFormat="1" applyFont="1" applyFill="1" applyBorder="1"/>
    <xf numFmtId="169" fontId="11" fillId="0" borderId="0" xfId="2" applyNumberFormat="1" applyFont="1" applyFill="1" applyBorder="1"/>
    <xf numFmtId="169" fontId="11" fillId="0" borderId="1" xfId="2" applyNumberFormat="1" applyFont="1" applyFill="1" applyBorder="1"/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23" fillId="0" borderId="1" xfId="1" applyNumberFormat="1" applyFont="1" applyFill="1" applyBorder="1"/>
    <xf numFmtId="169" fontId="4" fillId="0" borderId="11" xfId="0" applyNumberFormat="1" applyFont="1" applyBorder="1"/>
    <xf numFmtId="168" fontId="8" fillId="0" borderId="0" xfId="1" applyNumberFormat="1" applyFont="1"/>
    <xf numFmtId="169" fontId="8" fillId="0" borderId="1" xfId="2" applyNumberFormat="1" applyFont="1" applyFill="1" applyBorder="1"/>
    <xf numFmtId="169" fontId="4" fillId="0" borderId="0" xfId="2" applyNumberFormat="1" applyFont="1" applyFill="1" applyBorder="1"/>
    <xf numFmtId="169" fontId="8" fillId="0" borderId="11" xfId="2" applyNumberFormat="1" applyFont="1" applyFill="1" applyBorder="1"/>
    <xf numFmtId="169" fontId="11" fillId="0" borderId="11" xfId="2" applyNumberFormat="1" applyFont="1" applyFill="1" applyBorder="1"/>
    <xf numFmtId="169" fontId="4" fillId="0" borderId="11" xfId="2" applyNumberFormat="1" applyFont="1" applyFill="1" applyBorder="1"/>
    <xf numFmtId="169" fontId="4" fillId="0" borderId="1" xfId="2" applyNumberFormat="1" applyFont="1" applyFill="1" applyBorder="1"/>
    <xf numFmtId="168" fontId="4" fillId="0" borderId="11" xfId="1" applyNumberFormat="1" applyFont="1" applyFill="1" applyBorder="1"/>
    <xf numFmtId="168" fontId="4" fillId="0" borderId="0" xfId="1" applyNumberFormat="1" applyFont="1" applyFill="1" applyBorder="1"/>
    <xf numFmtId="168" fontId="4" fillId="0" borderId="1" xfId="1" applyNumberFormat="1" applyFont="1" applyFill="1" applyBorder="1"/>
    <xf numFmtId="168" fontId="4" fillId="0" borderId="3" xfId="1" applyNumberFormat="1" applyFont="1" applyFill="1" applyBorder="1"/>
    <xf numFmtId="169" fontId="8" fillId="0" borderId="0" xfId="2" applyNumberFormat="1" applyFont="1" applyFill="1" applyBorder="1"/>
    <xf numFmtId="168" fontId="8" fillId="0" borderId="0" xfId="1" applyNumberFormat="1" applyFont="1" applyFill="1"/>
    <xf numFmtId="164" fontId="8" fillId="0" borderId="0" xfId="1" applyNumberFormat="1" applyFont="1"/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zoomScaleNormal="100" workbookViewId="0">
      <selection activeCell="W20" sqref="W20"/>
    </sheetView>
  </sheetViews>
  <sheetFormatPr defaultRowHeight="12.75" x14ac:dyDescent="0.2"/>
  <cols>
    <col min="1" max="1" width="32.140625" customWidth="1"/>
    <col min="2" max="2" width="2.28515625" customWidth="1"/>
    <col min="3" max="9" width="7.28515625" customWidth="1"/>
    <col min="10" max="10" width="2.28515625" customWidth="1"/>
    <col min="11" max="14" width="7.28515625" hidden="1" customWidth="1"/>
    <col min="15" max="34" width="7.28515625" customWidth="1"/>
  </cols>
  <sheetData>
    <row r="1" spans="1:34" ht="20.25" x14ac:dyDescent="0.3">
      <c r="A1" s="5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4"/>
      <c r="U1" s="4"/>
      <c r="V1" s="3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20.25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3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5" thickBot="1" x14ac:dyDescent="0.25">
      <c r="A3" s="59"/>
      <c r="B3" s="59"/>
      <c r="C3" s="63"/>
      <c r="D3" s="63"/>
      <c r="E3" s="63"/>
      <c r="F3" s="63"/>
      <c r="G3" s="63"/>
      <c r="H3" s="63"/>
      <c r="I3" s="63"/>
      <c r="J3" s="59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ht="13.5" thickBot="1" x14ac:dyDescent="0.25">
      <c r="A4" s="59"/>
      <c r="B4" s="59"/>
      <c r="C4" s="153" t="s">
        <v>1</v>
      </c>
      <c r="D4" s="154"/>
      <c r="E4" s="154"/>
      <c r="F4" s="154"/>
      <c r="G4" s="154"/>
      <c r="H4" s="154"/>
      <c r="I4" s="155"/>
      <c r="J4" s="59"/>
      <c r="K4" s="156">
        <v>2006</v>
      </c>
      <c r="L4" s="157"/>
      <c r="M4" s="157"/>
      <c r="N4" s="158"/>
      <c r="O4" s="156">
        <v>2007</v>
      </c>
      <c r="P4" s="157"/>
      <c r="Q4" s="157"/>
      <c r="R4" s="158"/>
      <c r="S4" s="156">
        <v>2008</v>
      </c>
      <c r="T4" s="157"/>
      <c r="U4" s="157"/>
      <c r="V4" s="158"/>
      <c r="W4" s="156">
        <v>2009</v>
      </c>
      <c r="X4" s="157"/>
      <c r="Y4" s="157"/>
      <c r="Z4" s="158"/>
      <c r="AA4" s="156">
        <v>2010</v>
      </c>
      <c r="AB4" s="157"/>
      <c r="AC4" s="157"/>
      <c r="AD4" s="158"/>
      <c r="AE4" s="156">
        <v>2011</v>
      </c>
      <c r="AF4" s="157"/>
      <c r="AG4" s="157"/>
      <c r="AH4" s="158"/>
    </row>
    <row r="5" spans="1:34" ht="13.5" thickBot="1" x14ac:dyDescent="0.25">
      <c r="A5" s="65"/>
      <c r="B5" s="65"/>
      <c r="C5" s="65">
        <v>2005</v>
      </c>
      <c r="D5" s="65">
        <v>2006</v>
      </c>
      <c r="E5" s="65">
        <v>2007</v>
      </c>
      <c r="F5" s="65">
        <v>2008</v>
      </c>
      <c r="G5" s="65">
        <v>2009</v>
      </c>
      <c r="H5" s="65">
        <v>2010</v>
      </c>
      <c r="I5" s="65">
        <v>2011</v>
      </c>
      <c r="J5" s="59"/>
      <c r="K5" s="66" t="s">
        <v>2</v>
      </c>
      <c r="L5" s="67" t="s">
        <v>3</v>
      </c>
      <c r="M5" s="67" t="s">
        <v>4</v>
      </c>
      <c r="N5" s="68" t="s">
        <v>5</v>
      </c>
      <c r="O5" s="66" t="s">
        <v>6</v>
      </c>
      <c r="P5" s="67" t="s">
        <v>7</v>
      </c>
      <c r="Q5" s="67" t="s">
        <v>8</v>
      </c>
      <c r="R5" s="68" t="s">
        <v>9</v>
      </c>
      <c r="S5" s="66" t="s">
        <v>10</v>
      </c>
      <c r="T5" s="67" t="s">
        <v>11</v>
      </c>
      <c r="U5" s="67" t="s">
        <v>12</v>
      </c>
      <c r="V5" s="68" t="s">
        <v>13</v>
      </c>
      <c r="W5" s="66" t="s">
        <v>14</v>
      </c>
      <c r="X5" s="67" t="s">
        <v>15</v>
      </c>
      <c r="Y5" s="67" t="s">
        <v>16</v>
      </c>
      <c r="Z5" s="68" t="s">
        <v>17</v>
      </c>
      <c r="AA5" s="66" t="s">
        <v>18</v>
      </c>
      <c r="AB5" s="67" t="s">
        <v>19</v>
      </c>
      <c r="AC5" s="67" t="s">
        <v>20</v>
      </c>
      <c r="AD5" s="68" t="s">
        <v>21</v>
      </c>
      <c r="AE5" s="66" t="s">
        <v>22</v>
      </c>
      <c r="AF5" s="67" t="s">
        <v>23</v>
      </c>
      <c r="AG5" s="67" t="s">
        <v>24</v>
      </c>
      <c r="AH5" s="68" t="s">
        <v>25</v>
      </c>
    </row>
    <row r="6" spans="1:34" ht="13.5" thickBot="1" x14ac:dyDescent="0.25">
      <c r="A6" s="69" t="s">
        <v>26</v>
      </c>
      <c r="B6" s="59"/>
      <c r="C6" s="59"/>
      <c r="D6" s="59"/>
      <c r="E6" s="59"/>
      <c r="F6" s="59"/>
      <c r="G6" s="59"/>
      <c r="H6" s="59"/>
      <c r="I6" s="59"/>
      <c r="J6" s="59"/>
      <c r="K6" s="70"/>
      <c r="L6" s="65"/>
      <c r="M6" s="65"/>
      <c r="N6" s="71"/>
      <c r="O6" s="72"/>
      <c r="P6" s="59"/>
      <c r="Q6" s="59"/>
      <c r="R6" s="64"/>
      <c r="S6" s="72"/>
      <c r="T6" s="59"/>
      <c r="U6" s="59"/>
      <c r="V6" s="64"/>
      <c r="W6" s="72"/>
      <c r="X6" s="59"/>
      <c r="Y6" s="59"/>
      <c r="Z6" s="64"/>
      <c r="AA6" s="72"/>
      <c r="AB6" s="59"/>
      <c r="AC6" s="59"/>
      <c r="AD6" s="64"/>
      <c r="AE6" s="72"/>
      <c r="AF6" s="59"/>
      <c r="AG6" s="59"/>
      <c r="AH6" s="64"/>
    </row>
    <row r="7" spans="1:34" x14ac:dyDescent="0.2">
      <c r="A7" s="59" t="s">
        <v>27</v>
      </c>
      <c r="B7" s="59"/>
      <c r="C7" s="73">
        <f>2275.1-60.8</f>
        <v>2214.2999999999997</v>
      </c>
      <c r="D7" s="73">
        <v>2336.3000000000002</v>
      </c>
      <c r="E7" s="73">
        <v>2238.4</v>
      </c>
      <c r="F7" s="73">
        <v>2102.3000000000002</v>
      </c>
      <c r="G7" s="73">
        <v>1684.8</v>
      </c>
      <c r="H7" s="73">
        <v>1739.3</v>
      </c>
      <c r="I7" s="73">
        <v>1827.8</v>
      </c>
      <c r="J7" s="73"/>
      <c r="K7" s="74">
        <v>579.79999999999995</v>
      </c>
      <c r="L7" s="73">
        <v>588.1</v>
      </c>
      <c r="M7" s="73">
        <v>605.70000000000005</v>
      </c>
      <c r="N7" s="73">
        <v>562.70000000000005</v>
      </c>
      <c r="O7" s="74">
        <v>583.5</v>
      </c>
      <c r="P7" s="73">
        <v>561.5</v>
      </c>
      <c r="Q7" s="73">
        <v>563.6</v>
      </c>
      <c r="R7" s="75">
        <v>529.79999999999995</v>
      </c>
      <c r="S7" s="74">
        <v>518.29999999999995</v>
      </c>
      <c r="T7" s="73">
        <v>551.9</v>
      </c>
      <c r="U7" s="73">
        <v>575.79999999999995</v>
      </c>
      <c r="V7" s="75">
        <v>456.3</v>
      </c>
      <c r="W7" s="74">
        <v>411.6</v>
      </c>
      <c r="X7" s="73">
        <v>418.3</v>
      </c>
      <c r="Y7" s="73">
        <v>441.1</v>
      </c>
      <c r="Z7" s="75">
        <v>413.8</v>
      </c>
      <c r="AA7" s="74">
        <v>432.3</v>
      </c>
      <c r="AB7" s="73">
        <v>455.4</v>
      </c>
      <c r="AC7" s="73">
        <v>442.1</v>
      </c>
      <c r="AD7" s="75">
        <v>409.5</v>
      </c>
      <c r="AE7" s="74">
        <v>457.5</v>
      </c>
      <c r="AF7" s="73">
        <v>465.4</v>
      </c>
      <c r="AG7" s="73">
        <v>470.2</v>
      </c>
      <c r="AH7" s="75">
        <v>434.7</v>
      </c>
    </row>
    <row r="8" spans="1:34" x14ac:dyDescent="0.2">
      <c r="A8" s="59" t="s">
        <v>28</v>
      </c>
      <c r="B8" s="59"/>
      <c r="C8" s="73">
        <v>870.3</v>
      </c>
      <c r="D8" s="73">
        <v>850.5</v>
      </c>
      <c r="E8" s="73">
        <v>819.8</v>
      </c>
      <c r="F8" s="73">
        <v>696.9</v>
      </c>
      <c r="G8" s="73">
        <v>487.1</v>
      </c>
      <c r="H8" s="73">
        <v>530.70000000000005</v>
      </c>
      <c r="I8" s="73">
        <v>502.4</v>
      </c>
      <c r="J8" s="73"/>
      <c r="K8" s="74">
        <v>202.7</v>
      </c>
      <c r="L8" s="73">
        <v>218.4</v>
      </c>
      <c r="M8" s="73">
        <v>244.3</v>
      </c>
      <c r="N8" s="73">
        <v>185.1</v>
      </c>
      <c r="O8" s="74">
        <v>191</v>
      </c>
      <c r="P8" s="73">
        <v>211.4</v>
      </c>
      <c r="Q8" s="73">
        <v>235.8</v>
      </c>
      <c r="R8" s="75">
        <v>181.6</v>
      </c>
      <c r="S8" s="74">
        <v>187.3</v>
      </c>
      <c r="T8" s="73">
        <v>179.2</v>
      </c>
      <c r="U8" s="73">
        <v>195.1</v>
      </c>
      <c r="V8" s="75">
        <v>135.30000000000001</v>
      </c>
      <c r="W8" s="74">
        <v>114.4</v>
      </c>
      <c r="X8" s="73">
        <v>130.6</v>
      </c>
      <c r="Y8" s="73">
        <v>142.1</v>
      </c>
      <c r="Z8" s="75">
        <v>100</v>
      </c>
      <c r="AA8" s="74">
        <v>140.69999999999999</v>
      </c>
      <c r="AB8" s="73">
        <v>140.69999999999999</v>
      </c>
      <c r="AC8" s="73">
        <v>148.5</v>
      </c>
      <c r="AD8" s="75">
        <v>100.8</v>
      </c>
      <c r="AE8" s="74">
        <v>127.8</v>
      </c>
      <c r="AF8" s="73">
        <v>137.30000000000001</v>
      </c>
      <c r="AG8" s="73">
        <v>140.5</v>
      </c>
      <c r="AH8" s="75">
        <v>96.8</v>
      </c>
    </row>
    <row r="9" spans="1:34" x14ac:dyDescent="0.2">
      <c r="A9" s="59" t="s">
        <v>29</v>
      </c>
      <c r="B9" s="59"/>
      <c r="C9" s="73">
        <v>561</v>
      </c>
      <c r="D9" s="73">
        <v>504.4</v>
      </c>
      <c r="E9" s="73">
        <v>523.1</v>
      </c>
      <c r="F9" s="73">
        <v>658.2</v>
      </c>
      <c r="G9" s="73">
        <v>437.6</v>
      </c>
      <c r="H9" s="73">
        <v>498</v>
      </c>
      <c r="I9" s="73">
        <v>616.70000000000005</v>
      </c>
      <c r="J9" s="73"/>
      <c r="K9" s="74">
        <v>129.4</v>
      </c>
      <c r="L9" s="73">
        <v>121</v>
      </c>
      <c r="M9" s="73">
        <v>128.80000000000001</v>
      </c>
      <c r="N9" s="73">
        <v>125.2</v>
      </c>
      <c r="O9" s="74">
        <v>121</v>
      </c>
      <c r="P9" s="73">
        <v>131.4</v>
      </c>
      <c r="Q9" s="73">
        <v>134.19999999999999</v>
      </c>
      <c r="R9" s="75">
        <v>136.5</v>
      </c>
      <c r="S9" s="74">
        <v>139.9</v>
      </c>
      <c r="T9" s="73">
        <v>169.7</v>
      </c>
      <c r="U9" s="73">
        <v>203.4</v>
      </c>
      <c r="V9" s="75">
        <v>145.19999999999999</v>
      </c>
      <c r="W9" s="74">
        <v>104.3</v>
      </c>
      <c r="X9" s="73">
        <v>102.9</v>
      </c>
      <c r="Y9" s="73">
        <v>115.1</v>
      </c>
      <c r="Z9" s="75">
        <v>115.3</v>
      </c>
      <c r="AA9" s="74">
        <v>115.3</v>
      </c>
      <c r="AB9" s="73">
        <v>132.30000000000001</v>
      </c>
      <c r="AC9" s="73">
        <v>126.8</v>
      </c>
      <c r="AD9" s="75">
        <v>123.6</v>
      </c>
      <c r="AE9" s="74">
        <v>145.5</v>
      </c>
      <c r="AF9" s="73">
        <v>166.3</v>
      </c>
      <c r="AG9" s="73">
        <v>156.80000000000001</v>
      </c>
      <c r="AH9" s="75">
        <v>148.1</v>
      </c>
    </row>
    <row r="10" spans="1:34" x14ac:dyDescent="0.2">
      <c r="A10" s="59" t="s">
        <v>30</v>
      </c>
      <c r="B10" s="59"/>
      <c r="C10" s="76">
        <v>551.4</v>
      </c>
      <c r="D10" s="76">
        <v>575.70000000000005</v>
      </c>
      <c r="E10" s="76">
        <v>668.7</v>
      </c>
      <c r="F10" s="76">
        <v>618.70000000000005</v>
      </c>
      <c r="G10" s="76">
        <v>445.6</v>
      </c>
      <c r="H10" s="76">
        <v>591.1</v>
      </c>
      <c r="I10" s="76">
        <v>689.1</v>
      </c>
      <c r="J10" s="73"/>
      <c r="K10" s="77">
        <v>135.30000000000001</v>
      </c>
      <c r="L10" s="76">
        <v>151</v>
      </c>
      <c r="M10" s="76">
        <v>136.69999999999999</v>
      </c>
      <c r="N10" s="76">
        <v>152.69999999999999</v>
      </c>
      <c r="O10" s="77">
        <v>152.1</v>
      </c>
      <c r="P10" s="76">
        <v>166.2</v>
      </c>
      <c r="Q10" s="76">
        <v>158.6</v>
      </c>
      <c r="R10" s="78">
        <v>191.8</v>
      </c>
      <c r="S10" s="77">
        <v>152.80000000000001</v>
      </c>
      <c r="T10" s="76">
        <v>162.30000000000001</v>
      </c>
      <c r="U10" s="76">
        <v>157.9</v>
      </c>
      <c r="V10" s="78">
        <v>145.69999999999999</v>
      </c>
      <c r="W10" s="77">
        <v>87.8</v>
      </c>
      <c r="X10" s="76">
        <v>105.6</v>
      </c>
      <c r="Y10" s="76">
        <v>111.6</v>
      </c>
      <c r="Z10" s="78">
        <v>140.6</v>
      </c>
      <c r="AA10" s="77">
        <v>128.1</v>
      </c>
      <c r="AB10" s="76">
        <v>145.9</v>
      </c>
      <c r="AC10" s="76">
        <v>149.1</v>
      </c>
      <c r="AD10" s="78">
        <v>168</v>
      </c>
      <c r="AE10" s="77">
        <v>165</v>
      </c>
      <c r="AF10" s="76">
        <v>176.2</v>
      </c>
      <c r="AG10" s="76">
        <v>173.4</v>
      </c>
      <c r="AH10" s="78">
        <v>174.5</v>
      </c>
    </row>
    <row r="11" spans="1:34" x14ac:dyDescent="0.2">
      <c r="A11" s="79" t="s">
        <v>31</v>
      </c>
      <c r="B11" s="59"/>
      <c r="C11" s="80">
        <f t="shared" ref="C11:G11" si="0">SUM(C7:C10)</f>
        <v>4196.9999999999991</v>
      </c>
      <c r="D11" s="80">
        <f t="shared" si="0"/>
        <v>4266.9000000000005</v>
      </c>
      <c r="E11" s="80">
        <f t="shared" si="0"/>
        <v>4250</v>
      </c>
      <c r="F11" s="80">
        <f t="shared" si="0"/>
        <v>4076.1000000000004</v>
      </c>
      <c r="G11" s="80">
        <f t="shared" si="0"/>
        <v>3055.1</v>
      </c>
      <c r="H11" s="80">
        <f t="shared" ref="H11:I11" si="1">SUM(H7:H10)</f>
        <v>3359.1</v>
      </c>
      <c r="I11" s="80">
        <f t="shared" si="1"/>
        <v>3635.9999999999995</v>
      </c>
      <c r="J11" s="73"/>
      <c r="K11" s="81">
        <f t="shared" ref="K11:AD11" si="2">SUM(K7:K10)</f>
        <v>1047.2</v>
      </c>
      <c r="L11" s="80">
        <f t="shared" si="2"/>
        <v>1078.5</v>
      </c>
      <c r="M11" s="80">
        <f t="shared" si="2"/>
        <v>1115.5</v>
      </c>
      <c r="N11" s="80">
        <f t="shared" si="2"/>
        <v>1025.7</v>
      </c>
      <c r="O11" s="81">
        <f t="shared" si="2"/>
        <v>1047.5999999999999</v>
      </c>
      <c r="P11" s="80">
        <f t="shared" si="2"/>
        <v>1070.5</v>
      </c>
      <c r="Q11" s="80">
        <f t="shared" si="2"/>
        <v>1092.2</v>
      </c>
      <c r="R11" s="82">
        <f t="shared" si="2"/>
        <v>1039.7</v>
      </c>
      <c r="S11" s="81">
        <f t="shared" si="2"/>
        <v>998.3</v>
      </c>
      <c r="T11" s="80">
        <f t="shared" si="2"/>
        <v>1063.0999999999999</v>
      </c>
      <c r="U11" s="80">
        <f t="shared" si="2"/>
        <v>1132.2</v>
      </c>
      <c r="V11" s="82">
        <f t="shared" si="2"/>
        <v>882.5</v>
      </c>
      <c r="W11" s="81">
        <f t="shared" si="2"/>
        <v>718.09999999999991</v>
      </c>
      <c r="X11" s="80">
        <f t="shared" si="2"/>
        <v>757.4</v>
      </c>
      <c r="Y11" s="80">
        <f t="shared" si="2"/>
        <v>809.90000000000009</v>
      </c>
      <c r="Z11" s="82">
        <f t="shared" si="2"/>
        <v>769.69999999999993</v>
      </c>
      <c r="AA11" s="81">
        <f t="shared" si="2"/>
        <v>816.4</v>
      </c>
      <c r="AB11" s="80">
        <f t="shared" si="2"/>
        <v>874.29999999999984</v>
      </c>
      <c r="AC11" s="80">
        <f>SUM(AC7:AC10)</f>
        <v>866.5</v>
      </c>
      <c r="AD11" s="82">
        <f t="shared" si="2"/>
        <v>801.9</v>
      </c>
      <c r="AE11" s="81">
        <f>SUM(AE7:AE10)</f>
        <v>895.8</v>
      </c>
      <c r="AF11" s="80">
        <f t="shared" ref="AF11" si="3">SUM(AF7:AF10)</f>
        <v>945.2</v>
      </c>
      <c r="AG11" s="80">
        <f>SUM(AG7:AG10)</f>
        <v>940.9</v>
      </c>
      <c r="AH11" s="82">
        <f t="shared" ref="AH11" si="4">SUM(AH7:AH10)</f>
        <v>854.1</v>
      </c>
    </row>
    <row r="12" spans="1:34" x14ac:dyDescent="0.2">
      <c r="A12" s="79"/>
      <c r="B12" s="59"/>
      <c r="C12" s="83"/>
      <c r="D12" s="59"/>
      <c r="E12" s="59"/>
      <c r="F12" s="59"/>
      <c r="G12" s="59"/>
      <c r="H12" s="59"/>
      <c r="I12" s="59"/>
      <c r="J12" s="59"/>
      <c r="K12" s="84"/>
      <c r="L12" s="85"/>
      <c r="M12" s="85"/>
      <c r="N12" s="86"/>
      <c r="O12" s="84"/>
      <c r="P12" s="85"/>
      <c r="Q12" s="85"/>
      <c r="R12" s="86"/>
      <c r="S12" s="84"/>
      <c r="T12" s="85"/>
      <c r="U12" s="85"/>
      <c r="V12" s="86"/>
      <c r="W12" s="84"/>
      <c r="X12" s="85"/>
      <c r="Y12" s="85"/>
      <c r="Z12" s="86"/>
      <c r="AA12" s="84"/>
      <c r="AB12" s="85"/>
      <c r="AC12" s="85"/>
      <c r="AD12" s="86"/>
      <c r="AE12" s="84"/>
      <c r="AF12" s="85"/>
      <c r="AG12" s="85"/>
      <c r="AH12" s="86"/>
    </row>
    <row r="13" spans="1:34" x14ac:dyDescent="0.2">
      <c r="A13" s="79" t="s">
        <v>32</v>
      </c>
      <c r="B13" s="2"/>
      <c r="C13" s="59"/>
      <c r="D13" s="59"/>
      <c r="E13" s="59"/>
      <c r="F13" s="59"/>
      <c r="G13" s="59"/>
      <c r="H13" s="59"/>
      <c r="I13" s="59"/>
      <c r="J13" s="59"/>
      <c r="K13" s="84"/>
      <c r="L13" s="85"/>
      <c r="M13" s="85"/>
      <c r="N13" s="86"/>
      <c r="O13" s="84"/>
      <c r="P13" s="85"/>
      <c r="Q13" s="85"/>
      <c r="R13" s="86"/>
      <c r="S13" s="84"/>
      <c r="T13" s="85"/>
      <c r="U13" s="85"/>
      <c r="V13" s="86"/>
      <c r="W13" s="84"/>
      <c r="X13" s="85"/>
      <c r="Y13" s="85"/>
      <c r="Z13" s="86"/>
      <c r="AA13" s="84"/>
      <c r="AB13" s="85"/>
      <c r="AC13" s="85"/>
      <c r="AD13" s="86"/>
      <c r="AE13" s="84"/>
      <c r="AF13" s="85"/>
      <c r="AG13" s="85"/>
      <c r="AH13" s="86"/>
    </row>
    <row r="14" spans="1:34" x14ac:dyDescent="0.2">
      <c r="A14" s="59" t="s">
        <v>33</v>
      </c>
      <c r="B14" s="59"/>
      <c r="C14" s="87"/>
      <c r="D14" s="88">
        <v>-8.8000000000000005E-3</v>
      </c>
      <c r="E14" s="88">
        <v>-2.58E-2</v>
      </c>
      <c r="F14" s="88">
        <v>-3.9800000000000002E-2</v>
      </c>
      <c r="G14" s="88">
        <v>-0.24399999999999999</v>
      </c>
      <c r="H14" s="88">
        <v>0.108</v>
      </c>
      <c r="I14" s="88">
        <v>8.2000000000000003E-2</v>
      </c>
      <c r="J14" s="59"/>
      <c r="K14" s="89">
        <v>-1.5900000000000001E-2</v>
      </c>
      <c r="L14" s="90">
        <v>8.5000000000000006E-3</v>
      </c>
      <c r="M14" s="90">
        <v>-7.7999999999999996E-3</v>
      </c>
      <c r="N14" s="90">
        <v>-1.9400000000000001E-2</v>
      </c>
      <c r="O14" s="89">
        <v>-1.7600000000000001E-2</v>
      </c>
      <c r="P14" s="90">
        <v>-3.0300000000000001E-2</v>
      </c>
      <c r="Q14" s="90">
        <v>-4.3900000000000002E-2</v>
      </c>
      <c r="R14" s="91">
        <v>-9.7999999999999997E-3</v>
      </c>
      <c r="S14" s="89">
        <v>-6.2100000000000002E-2</v>
      </c>
      <c r="T14" s="90">
        <v>-5.1000000000000004E-3</v>
      </c>
      <c r="U14" s="90">
        <v>4.3400000000000001E-2</v>
      </c>
      <c r="V14" s="91">
        <v>-0.1411</v>
      </c>
      <c r="W14" s="89">
        <v>-0.27029999999999998</v>
      </c>
      <c r="X14" s="90">
        <v>-0.28000000000000003</v>
      </c>
      <c r="Y14" s="90">
        <v>-0.28000000000000003</v>
      </c>
      <c r="Z14" s="91">
        <v>-0.126</v>
      </c>
      <c r="AA14" s="89">
        <v>0.13800000000000001</v>
      </c>
      <c r="AB14" s="90">
        <v>0.156</v>
      </c>
      <c r="AC14" s="90">
        <v>8.2000000000000003E-2</v>
      </c>
      <c r="AD14" s="91">
        <v>5.8999999999999997E-2</v>
      </c>
      <c r="AE14" s="89">
        <v>9.8000000000000004E-2</v>
      </c>
      <c r="AF14" s="90">
        <v>8.1000000000000003E-2</v>
      </c>
      <c r="AG14" s="90">
        <v>8.4000000000000005E-2</v>
      </c>
      <c r="AH14" s="91">
        <v>6.3E-2</v>
      </c>
    </row>
    <row r="15" spans="1:34" x14ac:dyDescent="0.2">
      <c r="A15" s="59" t="s">
        <v>34</v>
      </c>
      <c r="B15" s="59"/>
      <c r="C15" s="87"/>
      <c r="D15" s="88">
        <f t="shared" ref="D15:I15" si="5">+D16-D14</f>
        <v>2.5454753395282775E-2</v>
      </c>
      <c r="E15" s="88">
        <f t="shared" si="5"/>
        <v>2.1839279101924024E-2</v>
      </c>
      <c r="F15" s="88">
        <f t="shared" si="5"/>
        <v>-1.11764705882339E-3</v>
      </c>
      <c r="G15" s="88">
        <f t="shared" si="5"/>
        <v>-6.4845317828317039E-3</v>
      </c>
      <c r="H15" s="88">
        <f t="shared" si="5"/>
        <v>-8.4942555071846476E-3</v>
      </c>
      <c r="I15" s="88">
        <f t="shared" si="5"/>
        <v>4.3279449852635932E-4</v>
      </c>
      <c r="J15" s="59"/>
      <c r="K15" s="89">
        <f t="shared" ref="K15:AH15" si="6">+K16-K14</f>
        <v>3.4100000000000005E-2</v>
      </c>
      <c r="L15" s="90">
        <f t="shared" si="6"/>
        <v>4.0300000000000002E-2</v>
      </c>
      <c r="M15" s="90">
        <f t="shared" si="6"/>
        <v>2.5799999999999997E-2</v>
      </c>
      <c r="N15" s="90">
        <f t="shared" si="6"/>
        <v>1.5000000000000013E-3</v>
      </c>
      <c r="O15" s="89">
        <f t="shared" si="6"/>
        <v>1.7981970970206203E-2</v>
      </c>
      <c r="P15" s="90">
        <f t="shared" si="6"/>
        <v>2.2882290217895236E-2</v>
      </c>
      <c r="Q15" s="90">
        <f t="shared" si="6"/>
        <v>2.3012505602868667E-2</v>
      </c>
      <c r="R15" s="91">
        <f t="shared" si="6"/>
        <v>2.3449215170127737E-2</v>
      </c>
      <c r="S15" s="89">
        <f t="shared" si="6"/>
        <v>1.5040053455517469E-2</v>
      </c>
      <c r="T15" s="90">
        <f t="shared" si="6"/>
        <v>-1.812657636618524E-3</v>
      </c>
      <c r="U15" s="90">
        <f t="shared" si="6"/>
        <v>-6.776670939388503E-3</v>
      </c>
      <c r="V15" s="91">
        <f t="shared" si="6"/>
        <v>-1.0097460806001712E-2</v>
      </c>
      <c r="W15" s="89">
        <f t="shared" si="6"/>
        <v>-1.0377151156966913E-2</v>
      </c>
      <c r="X15" s="90">
        <f t="shared" si="6"/>
        <v>-7.5552629103564639E-3</v>
      </c>
      <c r="Y15" s="90">
        <f t="shared" si="6"/>
        <v>-4.6670199611374974E-3</v>
      </c>
      <c r="Z15" s="91">
        <f t="shared" si="6"/>
        <v>-1.8186968838527218E-3</v>
      </c>
      <c r="AA15" s="89">
        <f t="shared" si="6"/>
        <v>-1.110987327670121E-3</v>
      </c>
      <c r="AB15" s="90">
        <f t="shared" si="6"/>
        <v>-1.6561922365990467E-3</v>
      </c>
      <c r="AC15" s="90">
        <f t="shared" si="6"/>
        <v>-1.2114828991233548E-2</v>
      </c>
      <c r="AD15" s="91">
        <f t="shared" si="6"/>
        <v>-1.7165519033389531E-2</v>
      </c>
      <c r="AE15" s="89">
        <f t="shared" si="6"/>
        <v>-7.4375306222443371E-4</v>
      </c>
      <c r="AF15" s="90">
        <f t="shared" si="6"/>
        <v>9.3446185520165703E-5</v>
      </c>
      <c r="AG15" s="90">
        <f t="shared" si="6"/>
        <v>1.8626658972878546E-3</v>
      </c>
      <c r="AH15" s="91">
        <f t="shared" si="6"/>
        <v>2.0953984287319094E-3</v>
      </c>
    </row>
    <row r="16" spans="1:34" x14ac:dyDescent="0.2">
      <c r="A16" s="79" t="s">
        <v>31</v>
      </c>
      <c r="B16" s="59"/>
      <c r="C16" s="87"/>
      <c r="D16" s="88">
        <f>+(D11/C11)-1</f>
        <v>1.6654753395282773E-2</v>
      </c>
      <c r="E16" s="88">
        <f t="shared" ref="E16:H16" si="7">+(E11/D11)-1</f>
        <v>-3.9607208980759756E-3</v>
      </c>
      <c r="F16" s="88">
        <f t="shared" si="7"/>
        <v>-4.0917647058823392E-2</v>
      </c>
      <c r="G16" s="88">
        <f t="shared" si="7"/>
        <v>-0.2504845317828317</v>
      </c>
      <c r="H16" s="88">
        <f t="shared" si="7"/>
        <v>9.9505744492815351E-2</v>
      </c>
      <c r="I16" s="88">
        <f>+(I11/H11)-1</f>
        <v>8.2432794498526363E-2</v>
      </c>
      <c r="J16" s="59"/>
      <c r="K16" s="89">
        <v>1.8200000000000001E-2</v>
      </c>
      <c r="L16" s="90">
        <v>4.8800000000000003E-2</v>
      </c>
      <c r="M16" s="90">
        <v>1.7999999999999999E-2</v>
      </c>
      <c r="N16" s="90">
        <v>-1.7899999999999999E-2</v>
      </c>
      <c r="O16" s="89">
        <f t="shared" ref="O16:R16" si="8">+(O11/K11)-1</f>
        <v>3.8197097020620241E-4</v>
      </c>
      <c r="P16" s="90">
        <f t="shared" si="8"/>
        <v>-7.4177097821047644E-3</v>
      </c>
      <c r="Q16" s="90">
        <f t="shared" si="8"/>
        <v>-2.0887494397131334E-2</v>
      </c>
      <c r="R16" s="91">
        <f t="shared" si="8"/>
        <v>1.3649215170127738E-2</v>
      </c>
      <c r="S16" s="89">
        <f>+(S11/O11)-1</f>
        <v>-4.7059946544482534E-2</v>
      </c>
      <c r="T16" s="90">
        <f>+(T11/P11)-1</f>
        <v>-6.9126576366185244E-3</v>
      </c>
      <c r="U16" s="90">
        <f>+(U11/Q11)-1</f>
        <v>3.6623329060611498E-2</v>
      </c>
      <c r="V16" s="91">
        <f>+(V11/R11)-1</f>
        <v>-0.15119746080600172</v>
      </c>
      <c r="W16" s="89">
        <f t="shared" ref="W16:AH16" si="9">+(W11/S11)-1</f>
        <v>-0.2806771511569669</v>
      </c>
      <c r="X16" s="90">
        <f t="shared" si="9"/>
        <v>-0.28755526291035649</v>
      </c>
      <c r="Y16" s="90">
        <f t="shared" si="9"/>
        <v>-0.28466701996113752</v>
      </c>
      <c r="Z16" s="91">
        <f t="shared" si="9"/>
        <v>-0.12781869688385272</v>
      </c>
      <c r="AA16" s="89">
        <f>+(AA11/W11)-1</f>
        <v>0.13688901267232989</v>
      </c>
      <c r="AB16" s="90">
        <f t="shared" si="9"/>
        <v>0.15434380776340095</v>
      </c>
      <c r="AC16" s="90">
        <f t="shared" si="9"/>
        <v>6.9885171008766456E-2</v>
      </c>
      <c r="AD16" s="91">
        <f t="shared" si="9"/>
        <v>4.1834480966610466E-2</v>
      </c>
      <c r="AE16" s="89">
        <f t="shared" si="9"/>
        <v>9.725624693777557E-2</v>
      </c>
      <c r="AF16" s="90">
        <f t="shared" si="9"/>
        <v>8.1093446185520168E-2</v>
      </c>
      <c r="AG16" s="90">
        <f t="shared" si="9"/>
        <v>8.586266589728786E-2</v>
      </c>
      <c r="AH16" s="91">
        <f t="shared" si="9"/>
        <v>6.509539842873191E-2</v>
      </c>
    </row>
    <row r="17" spans="1:34" ht="13.5" thickBot="1" x14ac:dyDescent="0.25">
      <c r="A17" s="79"/>
      <c r="B17" s="59"/>
      <c r="C17" s="59"/>
      <c r="D17" s="59"/>
      <c r="E17" s="59"/>
      <c r="F17" s="59"/>
      <c r="G17" s="59"/>
      <c r="H17" s="59"/>
      <c r="I17" s="59"/>
      <c r="J17" s="59"/>
      <c r="K17" s="84"/>
      <c r="L17" s="85"/>
      <c r="M17" s="85"/>
      <c r="N17" s="86"/>
      <c r="O17" s="84"/>
      <c r="P17" s="85"/>
      <c r="Q17" s="85"/>
      <c r="R17" s="86"/>
      <c r="S17" s="84"/>
      <c r="T17" s="85"/>
      <c r="U17" s="85"/>
      <c r="V17" s="86"/>
      <c r="W17" s="84"/>
      <c r="X17" s="85"/>
      <c r="Y17" s="85"/>
      <c r="Z17" s="86"/>
      <c r="AA17" s="84"/>
      <c r="AB17" s="85"/>
      <c r="AC17" s="85"/>
      <c r="AD17" s="86"/>
      <c r="AE17" s="84"/>
      <c r="AF17" s="85"/>
      <c r="AG17" s="85"/>
      <c r="AH17" s="86"/>
    </row>
    <row r="18" spans="1:34" ht="13.5" thickBot="1" x14ac:dyDescent="0.25">
      <c r="A18" s="69" t="s">
        <v>35</v>
      </c>
      <c r="B18" s="59"/>
      <c r="C18" s="59"/>
      <c r="D18" s="59"/>
      <c r="E18" s="59"/>
      <c r="F18" s="59"/>
      <c r="G18" s="59"/>
      <c r="H18" s="59"/>
      <c r="I18" s="59"/>
      <c r="J18" s="59"/>
      <c r="K18" s="72"/>
      <c r="L18" s="59"/>
      <c r="M18" s="59"/>
      <c r="N18" s="64"/>
      <c r="O18" s="72"/>
      <c r="P18" s="59"/>
      <c r="Q18" s="59"/>
      <c r="R18" s="64"/>
      <c r="S18" s="72"/>
      <c r="T18" s="59"/>
      <c r="U18" s="59"/>
      <c r="V18" s="64"/>
      <c r="W18" s="72"/>
      <c r="X18" s="59"/>
      <c r="Y18" s="59"/>
      <c r="Z18" s="64"/>
      <c r="AA18" s="72"/>
      <c r="AB18" s="59"/>
      <c r="AC18" s="59"/>
      <c r="AD18" s="64"/>
      <c r="AE18" s="72"/>
      <c r="AF18" s="59"/>
      <c r="AG18" s="59"/>
      <c r="AH18" s="64"/>
    </row>
    <row r="19" spans="1:34" x14ac:dyDescent="0.2">
      <c r="A19" s="59" t="s">
        <v>27</v>
      </c>
      <c r="B19" s="59"/>
      <c r="C19" s="73">
        <f>2298-60.8</f>
        <v>2237.1999999999998</v>
      </c>
      <c r="D19" s="73">
        <v>2358.3000000000002</v>
      </c>
      <c r="E19" s="73">
        <v>2254</v>
      </c>
      <c r="F19" s="73">
        <v>2119.8000000000002</v>
      </c>
      <c r="G19" s="73">
        <v>1693.2</v>
      </c>
      <c r="H19" s="73">
        <v>1746.8</v>
      </c>
      <c r="I19" s="73">
        <v>1836.4</v>
      </c>
      <c r="J19" s="73"/>
      <c r="K19" s="74">
        <v>585.9</v>
      </c>
      <c r="L19" s="73">
        <v>594.9</v>
      </c>
      <c r="M19" s="73">
        <v>610.20000000000005</v>
      </c>
      <c r="N19" s="73">
        <v>567.29999999999995</v>
      </c>
      <c r="O19" s="74">
        <v>588</v>
      </c>
      <c r="P19" s="73">
        <v>565.4</v>
      </c>
      <c r="Q19" s="73">
        <v>567.20000000000005</v>
      </c>
      <c r="R19" s="75">
        <v>533.4</v>
      </c>
      <c r="S19" s="74">
        <v>522.5</v>
      </c>
      <c r="T19" s="73">
        <v>557.79999999999995</v>
      </c>
      <c r="U19" s="73">
        <v>580</v>
      </c>
      <c r="V19" s="75">
        <v>459.5</v>
      </c>
      <c r="W19" s="74">
        <v>414</v>
      </c>
      <c r="X19" s="73">
        <v>420.3</v>
      </c>
      <c r="Y19" s="73">
        <v>443.3</v>
      </c>
      <c r="Z19" s="75">
        <v>415.6</v>
      </c>
      <c r="AA19" s="74">
        <v>434.3</v>
      </c>
      <c r="AB19" s="73">
        <v>457.4</v>
      </c>
      <c r="AC19" s="73">
        <v>443.7</v>
      </c>
      <c r="AD19" s="75">
        <v>411.3</v>
      </c>
      <c r="AE19" s="74">
        <v>459.8</v>
      </c>
      <c r="AF19" s="73">
        <v>467.7</v>
      </c>
      <c r="AG19" s="73">
        <v>472.3</v>
      </c>
      <c r="AH19" s="75">
        <v>436.6</v>
      </c>
    </row>
    <row r="20" spans="1:34" x14ac:dyDescent="0.2">
      <c r="A20" s="59" t="s">
        <v>28</v>
      </c>
      <c r="B20" s="59"/>
      <c r="C20" s="73">
        <v>885.6</v>
      </c>
      <c r="D20" s="73">
        <v>860.9</v>
      </c>
      <c r="E20" s="73">
        <v>837.4</v>
      </c>
      <c r="F20" s="73">
        <v>711.3</v>
      </c>
      <c r="G20" s="73">
        <v>491.4</v>
      </c>
      <c r="H20" s="73">
        <v>534.79999999999995</v>
      </c>
      <c r="I20" s="73">
        <v>507.3</v>
      </c>
      <c r="J20" s="73"/>
      <c r="K20" s="74">
        <v>206</v>
      </c>
      <c r="L20" s="73">
        <v>220.9</v>
      </c>
      <c r="M20" s="73">
        <v>247.2</v>
      </c>
      <c r="N20" s="73">
        <v>186.8</v>
      </c>
      <c r="O20" s="74">
        <v>194.8</v>
      </c>
      <c r="P20" s="73">
        <v>217.7</v>
      </c>
      <c r="Q20" s="73">
        <v>239.3</v>
      </c>
      <c r="R20" s="75">
        <v>185.6</v>
      </c>
      <c r="S20" s="74">
        <v>192</v>
      </c>
      <c r="T20" s="73">
        <v>184</v>
      </c>
      <c r="U20" s="73">
        <v>199.5</v>
      </c>
      <c r="V20" s="75">
        <v>135.80000000000001</v>
      </c>
      <c r="W20" s="74">
        <v>115.5</v>
      </c>
      <c r="X20" s="73">
        <v>131.4</v>
      </c>
      <c r="Y20" s="73">
        <v>143.30000000000001</v>
      </c>
      <c r="Z20" s="75">
        <v>101.2</v>
      </c>
      <c r="AA20" s="74">
        <v>141.69999999999999</v>
      </c>
      <c r="AB20" s="73">
        <v>141.80000000000001</v>
      </c>
      <c r="AC20" s="73">
        <v>149.5</v>
      </c>
      <c r="AD20" s="75">
        <v>101.8</v>
      </c>
      <c r="AE20" s="74">
        <v>129</v>
      </c>
      <c r="AF20" s="73">
        <v>138.80000000000001</v>
      </c>
      <c r="AG20" s="73">
        <v>141.69999999999999</v>
      </c>
      <c r="AH20" s="75">
        <v>97.8</v>
      </c>
    </row>
    <row r="21" spans="1:34" x14ac:dyDescent="0.2">
      <c r="A21" s="59" t="s">
        <v>29</v>
      </c>
      <c r="B21" s="59"/>
      <c r="C21" s="73">
        <v>885.7</v>
      </c>
      <c r="D21" s="73">
        <v>783.5</v>
      </c>
      <c r="E21" s="73">
        <v>775.7</v>
      </c>
      <c r="F21" s="73">
        <v>966.2</v>
      </c>
      <c r="G21" s="73">
        <v>646.79999999999995</v>
      </c>
      <c r="H21" s="73">
        <v>725.2</v>
      </c>
      <c r="I21" s="73">
        <v>856.8</v>
      </c>
      <c r="J21" s="73"/>
      <c r="K21" s="74">
        <v>205.7</v>
      </c>
      <c r="L21" s="73">
        <v>192.2</v>
      </c>
      <c r="M21" s="73">
        <v>198.7</v>
      </c>
      <c r="N21" s="73">
        <v>186.9</v>
      </c>
      <c r="O21" s="74">
        <v>191.1</v>
      </c>
      <c r="P21" s="73">
        <v>196.1</v>
      </c>
      <c r="Q21" s="73">
        <v>199.3</v>
      </c>
      <c r="R21" s="75">
        <v>189.2</v>
      </c>
      <c r="S21" s="74">
        <v>212.5</v>
      </c>
      <c r="T21" s="73">
        <v>247.3</v>
      </c>
      <c r="U21" s="73">
        <v>293.3</v>
      </c>
      <c r="V21" s="75">
        <v>213.1</v>
      </c>
      <c r="W21" s="74">
        <v>164.9</v>
      </c>
      <c r="X21" s="73">
        <v>152.5</v>
      </c>
      <c r="Y21" s="73">
        <v>172.2</v>
      </c>
      <c r="Z21" s="75">
        <v>157.19999999999999</v>
      </c>
      <c r="AA21" s="74">
        <v>177.1</v>
      </c>
      <c r="AB21" s="73">
        <v>194.7</v>
      </c>
      <c r="AC21" s="73">
        <v>183.2</v>
      </c>
      <c r="AD21" s="75">
        <v>170.2</v>
      </c>
      <c r="AE21" s="74">
        <v>210.3</v>
      </c>
      <c r="AF21" s="73">
        <v>229.1</v>
      </c>
      <c r="AG21" s="73">
        <v>216.7</v>
      </c>
      <c r="AH21" s="75">
        <v>200.7</v>
      </c>
    </row>
    <row r="22" spans="1:34" x14ac:dyDescent="0.2">
      <c r="A22" s="59" t="s">
        <v>30</v>
      </c>
      <c r="B22" s="59"/>
      <c r="C22" s="76">
        <v>610.1</v>
      </c>
      <c r="D22" s="76">
        <v>620.70000000000005</v>
      </c>
      <c r="E22" s="76">
        <v>715</v>
      </c>
      <c r="F22" s="76">
        <v>681.7</v>
      </c>
      <c r="G22" s="76">
        <v>500.9</v>
      </c>
      <c r="H22" s="76">
        <v>629.29999999999995</v>
      </c>
      <c r="I22" s="76">
        <v>736.2</v>
      </c>
      <c r="J22" s="73"/>
      <c r="K22" s="77">
        <v>147.6</v>
      </c>
      <c r="L22" s="76">
        <v>161.9</v>
      </c>
      <c r="M22" s="76">
        <v>147.69999999999999</v>
      </c>
      <c r="N22" s="76">
        <v>163.5</v>
      </c>
      <c r="O22" s="77">
        <v>162.80000000000001</v>
      </c>
      <c r="P22" s="76">
        <v>178.4</v>
      </c>
      <c r="Q22" s="76">
        <v>173.2</v>
      </c>
      <c r="R22" s="78">
        <v>200.9</v>
      </c>
      <c r="S22" s="77">
        <v>168.9</v>
      </c>
      <c r="T22" s="76">
        <v>179.5</v>
      </c>
      <c r="U22" s="76">
        <v>172</v>
      </c>
      <c r="V22" s="78">
        <v>161.30000000000001</v>
      </c>
      <c r="W22" s="77">
        <v>104.4</v>
      </c>
      <c r="X22" s="76">
        <v>119.9</v>
      </c>
      <c r="Y22" s="76">
        <v>124.7</v>
      </c>
      <c r="Z22" s="78">
        <v>151.9</v>
      </c>
      <c r="AA22" s="77">
        <v>136.4</v>
      </c>
      <c r="AB22" s="76">
        <v>156</v>
      </c>
      <c r="AC22" s="76">
        <v>159.9</v>
      </c>
      <c r="AD22" s="78">
        <v>177</v>
      </c>
      <c r="AE22" s="77">
        <v>174.8</v>
      </c>
      <c r="AF22" s="76">
        <v>186.5</v>
      </c>
      <c r="AG22" s="76">
        <v>187.7</v>
      </c>
      <c r="AH22" s="78">
        <v>187.2</v>
      </c>
    </row>
    <row r="23" spans="1:34" x14ac:dyDescent="0.2">
      <c r="A23" s="79" t="s">
        <v>31</v>
      </c>
      <c r="B23" s="79"/>
      <c r="C23" s="80">
        <f t="shared" ref="C23:G23" si="10">SUM(C19:C22)</f>
        <v>4618.6000000000004</v>
      </c>
      <c r="D23" s="80">
        <f t="shared" si="10"/>
        <v>4623.4000000000005</v>
      </c>
      <c r="E23" s="80">
        <f t="shared" si="10"/>
        <v>4582.1000000000004</v>
      </c>
      <c r="F23" s="80">
        <f t="shared" si="10"/>
        <v>4479</v>
      </c>
      <c r="G23" s="80">
        <f t="shared" si="10"/>
        <v>3332.2999999999997</v>
      </c>
      <c r="H23" s="80">
        <f t="shared" ref="H23:I23" si="11">SUM(H19:H22)</f>
        <v>3636.1000000000004</v>
      </c>
      <c r="I23" s="80">
        <f t="shared" si="11"/>
        <v>3936.7</v>
      </c>
      <c r="J23" s="73"/>
      <c r="K23" s="81">
        <f t="shared" ref="K23:AD23" si="12">SUM(K19:K22)</f>
        <v>1145.1999999999998</v>
      </c>
      <c r="L23" s="80">
        <f t="shared" si="12"/>
        <v>1169.9000000000001</v>
      </c>
      <c r="M23" s="80">
        <f t="shared" si="12"/>
        <v>1203.8000000000002</v>
      </c>
      <c r="N23" s="80">
        <f t="shared" si="12"/>
        <v>1104.5</v>
      </c>
      <c r="O23" s="81">
        <f t="shared" si="12"/>
        <v>1136.7</v>
      </c>
      <c r="P23" s="80">
        <f t="shared" si="12"/>
        <v>1157.5999999999999</v>
      </c>
      <c r="Q23" s="80">
        <f t="shared" si="12"/>
        <v>1179</v>
      </c>
      <c r="R23" s="82">
        <f t="shared" si="12"/>
        <v>1109.1000000000001</v>
      </c>
      <c r="S23" s="81">
        <f t="shared" si="12"/>
        <v>1095.9000000000001</v>
      </c>
      <c r="T23" s="80">
        <f t="shared" si="12"/>
        <v>1168.5999999999999</v>
      </c>
      <c r="U23" s="80">
        <f t="shared" si="12"/>
        <v>1244.8</v>
      </c>
      <c r="V23" s="82">
        <f t="shared" si="12"/>
        <v>969.7</v>
      </c>
      <c r="W23" s="81">
        <f t="shared" si="12"/>
        <v>798.8</v>
      </c>
      <c r="X23" s="80">
        <f t="shared" si="12"/>
        <v>824.1</v>
      </c>
      <c r="Y23" s="80">
        <f t="shared" si="12"/>
        <v>883.5</v>
      </c>
      <c r="Z23" s="82">
        <f t="shared" si="12"/>
        <v>825.9</v>
      </c>
      <c r="AA23" s="81">
        <f t="shared" si="12"/>
        <v>889.5</v>
      </c>
      <c r="AB23" s="80">
        <f t="shared" si="12"/>
        <v>949.90000000000009</v>
      </c>
      <c r="AC23" s="80">
        <f>SUM(AC19:AC22)</f>
        <v>936.30000000000007</v>
      </c>
      <c r="AD23" s="82">
        <f t="shared" si="12"/>
        <v>860.3</v>
      </c>
      <c r="AE23" s="81">
        <f>SUM(AE19:AE22)</f>
        <v>973.89999999999986</v>
      </c>
      <c r="AF23" s="80">
        <f t="shared" ref="AF23" si="13">SUM(AF19:AF22)</f>
        <v>1022.1</v>
      </c>
      <c r="AG23" s="80">
        <f>SUM(AG19:AG22)</f>
        <v>1018.4000000000001</v>
      </c>
      <c r="AH23" s="82">
        <f t="shared" ref="AH23" si="14">SUM(AH19:AH22)</f>
        <v>922.3</v>
      </c>
    </row>
    <row r="24" spans="1:34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72"/>
      <c r="L24" s="59"/>
      <c r="M24" s="59"/>
      <c r="N24" s="64"/>
      <c r="O24" s="72"/>
      <c r="P24" s="59"/>
      <c r="Q24" s="59"/>
      <c r="R24" s="64"/>
      <c r="S24" s="92"/>
      <c r="T24" s="93"/>
      <c r="U24" s="94"/>
      <c r="V24" s="95"/>
      <c r="W24" s="92"/>
      <c r="X24" s="93"/>
      <c r="Y24" s="94"/>
      <c r="Z24" s="95"/>
      <c r="AA24" s="92"/>
      <c r="AB24" s="93"/>
      <c r="AC24" s="94"/>
      <c r="AD24" s="95"/>
      <c r="AE24" s="92"/>
      <c r="AF24" s="93"/>
      <c r="AG24" s="94"/>
      <c r="AH24" s="95"/>
    </row>
    <row r="25" spans="1:34" x14ac:dyDescent="0.2">
      <c r="A25" s="79" t="s">
        <v>36</v>
      </c>
      <c r="B25" s="2"/>
      <c r="C25" s="59"/>
      <c r="D25" s="59"/>
      <c r="E25" s="59"/>
      <c r="F25" s="59"/>
      <c r="G25" s="59"/>
      <c r="H25" s="59"/>
      <c r="I25" s="59"/>
      <c r="J25" s="59"/>
      <c r="K25" s="72"/>
      <c r="L25" s="59"/>
      <c r="M25" s="59"/>
      <c r="N25" s="64"/>
      <c r="O25" s="72"/>
      <c r="P25" s="59"/>
      <c r="Q25" s="59"/>
      <c r="R25" s="64"/>
      <c r="S25" s="72"/>
      <c r="T25" s="59"/>
      <c r="U25" s="59"/>
      <c r="V25" s="64"/>
      <c r="W25" s="72"/>
      <c r="X25" s="59"/>
      <c r="Y25" s="59"/>
      <c r="Z25" s="64"/>
      <c r="AA25" s="72"/>
      <c r="AB25" s="59"/>
      <c r="AC25" s="59"/>
      <c r="AD25" s="64"/>
      <c r="AE25" s="72"/>
      <c r="AF25" s="59"/>
      <c r="AG25" s="59"/>
      <c r="AH25" s="64"/>
    </row>
    <row r="26" spans="1:34" x14ac:dyDescent="0.2">
      <c r="A26" s="59" t="s">
        <v>27</v>
      </c>
      <c r="B26" s="59"/>
      <c r="C26" s="96"/>
      <c r="D26" s="88">
        <v>2.0000000000000001E-4</v>
      </c>
      <c r="E26" s="88">
        <v>-6.4100000000000004E-2</v>
      </c>
      <c r="F26" s="88">
        <v>-5.1999999999999998E-2</v>
      </c>
      <c r="G26" s="88">
        <v>-0.189</v>
      </c>
      <c r="H26" s="88">
        <v>3.2000000000000001E-2</v>
      </c>
      <c r="I26" s="88">
        <v>0.05</v>
      </c>
      <c r="J26" s="59"/>
      <c r="K26" s="89">
        <v>-1.1999999999999999E-3</v>
      </c>
      <c r="L26" s="90">
        <v>1.0800000000000001E-2</v>
      </c>
      <c r="M26" s="90">
        <v>1.8700000000000001E-2</v>
      </c>
      <c r="N26" s="90">
        <v>-2.6800000000000001E-2</v>
      </c>
      <c r="O26" s="89">
        <v>-3.32E-2</v>
      </c>
      <c r="P26" s="90">
        <v>-6.5799999999999997E-2</v>
      </c>
      <c r="Q26" s="90">
        <v>-8.5699999999999998E-2</v>
      </c>
      <c r="R26" s="91">
        <v>-7.0900000000000005E-2</v>
      </c>
      <c r="S26" s="89">
        <v>-0.11020000000000001</v>
      </c>
      <c r="T26" s="90">
        <v>-1.2E-2</v>
      </c>
      <c r="U26" s="90">
        <v>3.0499999999999999E-2</v>
      </c>
      <c r="V26" s="91">
        <v>-0.11899999999999999</v>
      </c>
      <c r="W26" s="89">
        <v>-0.19270000000000001</v>
      </c>
      <c r="X26" s="90">
        <v>-0.23</v>
      </c>
      <c r="Y26" s="90">
        <v>-0.22500000000000001</v>
      </c>
      <c r="Z26" s="91">
        <v>-9.1999999999999998E-2</v>
      </c>
      <c r="AA26" s="89">
        <v>4.9299999999999997E-2</v>
      </c>
      <c r="AB26" s="90">
        <v>8.7999999999999995E-2</v>
      </c>
      <c r="AC26" s="90">
        <v>1E-3</v>
      </c>
      <c r="AD26" s="91">
        <v>-0.01</v>
      </c>
      <c r="AE26" s="89">
        <v>5.8200000000000002E-2</v>
      </c>
      <c r="AF26" s="90">
        <v>2.3E-2</v>
      </c>
      <c r="AG26" s="90">
        <v>6.2E-2</v>
      </c>
      <c r="AH26" s="91">
        <v>5.8000000000000003E-2</v>
      </c>
    </row>
    <row r="27" spans="1:34" x14ac:dyDescent="0.2">
      <c r="A27" s="59" t="s">
        <v>28</v>
      </c>
      <c r="B27" s="59"/>
      <c r="C27" s="96"/>
      <c r="D27" s="88">
        <v>-7.1999999999999998E-3</v>
      </c>
      <c r="E27" s="88">
        <v>-2.7199999999999998E-2</v>
      </c>
      <c r="F27" s="88">
        <v>-0.15459999999999999</v>
      </c>
      <c r="G27" s="88">
        <v>-0.30599999999999999</v>
      </c>
      <c r="H27" s="88">
        <v>8.7999999999999995E-2</v>
      </c>
      <c r="I27" s="88">
        <v>-5.0999999999999997E-2</v>
      </c>
      <c r="J27" s="59"/>
      <c r="K27" s="89">
        <v>1.0800000000000001E-2</v>
      </c>
      <c r="L27" s="90">
        <v>4.4499999999999998E-2</v>
      </c>
      <c r="M27" s="90">
        <v>-4.6699999999999998E-2</v>
      </c>
      <c r="N27" s="90">
        <v>-2.9700000000000001E-2</v>
      </c>
      <c r="O27" s="89">
        <v>-5.4100000000000002E-2</v>
      </c>
      <c r="P27" s="90">
        <v>-1.4500000000000001E-2</v>
      </c>
      <c r="Q27" s="90">
        <v>-3.1899999999999998E-2</v>
      </c>
      <c r="R27" s="91">
        <v>-6.3E-3</v>
      </c>
      <c r="S27" s="89">
        <v>-3.7600000000000001E-2</v>
      </c>
      <c r="T27" s="90">
        <v>-0.15659999999999999</v>
      </c>
      <c r="U27" s="90">
        <v>-0.16070000000000001</v>
      </c>
      <c r="V27" s="91">
        <v>-0.27150000000000002</v>
      </c>
      <c r="W27" s="89">
        <v>-0.38450000000000001</v>
      </c>
      <c r="X27" s="90">
        <v>-0.28799999999999998</v>
      </c>
      <c r="Y27" s="90">
        <v>-0.28299999999999997</v>
      </c>
      <c r="Z27" s="91">
        <v>-0.255</v>
      </c>
      <c r="AA27" s="89">
        <v>0.22700000000000001</v>
      </c>
      <c r="AB27" s="90">
        <v>7.9000000000000001E-2</v>
      </c>
      <c r="AC27" s="90">
        <v>4.2999999999999997E-2</v>
      </c>
      <c r="AD27" s="91">
        <v>6.0000000000000001E-3</v>
      </c>
      <c r="AE27" s="89">
        <v>-8.9899999999999994E-2</v>
      </c>
      <c r="AF27" s="90">
        <v>-2.1000000000000001E-2</v>
      </c>
      <c r="AG27" s="90">
        <v>-5.1999999999999998E-2</v>
      </c>
      <c r="AH27" s="91">
        <v>-3.7999999999999999E-2</v>
      </c>
    </row>
    <row r="28" spans="1:34" x14ac:dyDescent="0.2">
      <c r="A28" s="59" t="s">
        <v>29</v>
      </c>
      <c r="B28" s="59"/>
      <c r="C28" s="96"/>
      <c r="D28" s="88">
        <v>-8.8099999999999998E-2</v>
      </c>
      <c r="E28" s="88">
        <v>-3.4200000000000001E-2</v>
      </c>
      <c r="F28" s="88">
        <v>0.23860000000000001</v>
      </c>
      <c r="G28" s="88">
        <v>-0.33100000000000002</v>
      </c>
      <c r="H28" s="88">
        <v>0.16400000000000001</v>
      </c>
      <c r="I28" s="88">
        <v>0.183</v>
      </c>
      <c r="J28" s="59"/>
      <c r="K28" s="89">
        <v>-0.1177</v>
      </c>
      <c r="L28" s="90">
        <v>-0.1056</v>
      </c>
      <c r="M28" s="90">
        <v>-7.4999999999999997E-2</v>
      </c>
      <c r="N28" s="90">
        <v>-4.8099999999999997E-2</v>
      </c>
      <c r="O28" s="89">
        <v>-0.05</v>
      </c>
      <c r="P28" s="90">
        <v>-2.35E-2</v>
      </c>
      <c r="Q28" s="90">
        <v>-3.4599999999999999E-2</v>
      </c>
      <c r="R28" s="91">
        <v>-2.7099999999999999E-2</v>
      </c>
      <c r="S28" s="89">
        <v>7.6999999999999999E-2</v>
      </c>
      <c r="T28" s="90">
        <v>0.26629999999999998</v>
      </c>
      <c r="U28" s="90">
        <v>0.47120000000000001</v>
      </c>
      <c r="V28" s="91">
        <v>0.12620000000000001</v>
      </c>
      <c r="W28" s="89">
        <v>-0.22409999999999999</v>
      </c>
      <c r="X28" s="90">
        <v>-0.38300000000000001</v>
      </c>
      <c r="Y28" s="90">
        <v>-0.41299999999999998</v>
      </c>
      <c r="Z28" s="91">
        <v>-0.26300000000000001</v>
      </c>
      <c r="AA28" s="89">
        <v>7.8E-2</v>
      </c>
      <c r="AB28" s="90">
        <v>0.28599999999999998</v>
      </c>
      <c r="AC28" s="90">
        <v>0.127</v>
      </c>
      <c r="AD28" s="91">
        <v>0.17599999999999999</v>
      </c>
      <c r="AE28" s="89">
        <v>0.193</v>
      </c>
      <c r="AF28" s="90">
        <v>0.17699999999999999</v>
      </c>
      <c r="AG28" s="90">
        <v>0.183</v>
      </c>
      <c r="AH28" s="91">
        <v>0.17899999999999999</v>
      </c>
    </row>
    <row r="29" spans="1:34" x14ac:dyDescent="0.2">
      <c r="A29" s="59" t="s">
        <v>30</v>
      </c>
      <c r="B29" s="59"/>
      <c r="C29" s="96"/>
      <c r="D29" s="88">
        <v>-3.2000000000000002E-3</v>
      </c>
      <c r="E29" s="88">
        <v>0.10780000000000001</v>
      </c>
      <c r="F29" s="88">
        <v>-5.3600000000000002E-2</v>
      </c>
      <c r="G29" s="88">
        <v>-0.26500000000000001</v>
      </c>
      <c r="H29" s="88">
        <v>0.254</v>
      </c>
      <c r="I29" s="88">
        <v>0.16900000000000001</v>
      </c>
      <c r="J29" s="59"/>
      <c r="K29" s="89">
        <v>-0.04</v>
      </c>
      <c r="L29" s="90">
        <v>2.58E-2</v>
      </c>
      <c r="M29" s="90">
        <v>-2.01E-2</v>
      </c>
      <c r="N29" s="90">
        <v>1.8700000000000001E-2</v>
      </c>
      <c r="O29" s="89">
        <v>9.3200000000000005E-2</v>
      </c>
      <c r="P29" s="90">
        <v>5.8900000000000001E-2</v>
      </c>
      <c r="Q29" s="90">
        <v>0.11169999999999999</v>
      </c>
      <c r="R29" s="91">
        <v>0.16539999999999999</v>
      </c>
      <c r="S29" s="89">
        <v>6.6E-3</v>
      </c>
      <c r="T29" s="90">
        <v>7.9000000000000008E-3</v>
      </c>
      <c r="U29" s="90">
        <v>-7.0000000000000001E-3</v>
      </c>
      <c r="V29" s="91">
        <v>-0.1971</v>
      </c>
      <c r="W29" s="89">
        <v>-0.38179999999999997</v>
      </c>
      <c r="X29" s="90">
        <v>-0.33200000000000002</v>
      </c>
      <c r="Y29" s="90">
        <v>-0.27500000000000002</v>
      </c>
      <c r="Z29" s="91">
        <v>-5.8000000000000003E-2</v>
      </c>
      <c r="AA29" s="89">
        <v>0.30499999999999999</v>
      </c>
      <c r="AB29" s="90">
        <v>0.29899999999999999</v>
      </c>
      <c r="AC29" s="90">
        <v>0.28000000000000003</v>
      </c>
      <c r="AD29" s="91">
        <v>0.16300000000000001</v>
      </c>
      <c r="AE29" s="89">
        <v>0.28029999999999999</v>
      </c>
      <c r="AF29" s="90">
        <v>0.19500000000000001</v>
      </c>
      <c r="AG29" s="90">
        <v>0.17399999999999999</v>
      </c>
      <c r="AH29" s="91">
        <v>5.7000000000000002E-2</v>
      </c>
    </row>
    <row r="30" spans="1:34" ht="13.5" thickBo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72"/>
      <c r="L30" s="59"/>
      <c r="M30" s="59"/>
      <c r="N30" s="64"/>
      <c r="O30" s="72"/>
      <c r="P30" s="59"/>
      <c r="Q30" s="59"/>
      <c r="R30" s="64"/>
      <c r="S30" s="72"/>
      <c r="T30" s="59"/>
      <c r="U30" s="59"/>
      <c r="V30" s="64"/>
      <c r="W30" s="72"/>
      <c r="X30" s="59"/>
      <c r="Y30" s="59"/>
      <c r="Z30" s="64"/>
      <c r="AA30" s="72"/>
      <c r="AB30" s="59"/>
      <c r="AC30" s="59"/>
      <c r="AD30" s="64"/>
      <c r="AE30" s="72"/>
      <c r="AF30" s="59"/>
      <c r="AG30" s="59"/>
      <c r="AH30" s="64"/>
    </row>
    <row r="31" spans="1:34" ht="13.5" thickBot="1" x14ac:dyDescent="0.25">
      <c r="A31" s="69" t="s">
        <v>37</v>
      </c>
      <c r="B31" s="59"/>
      <c r="C31" s="59"/>
      <c r="D31" s="59"/>
      <c r="E31" s="59"/>
      <c r="F31" s="59"/>
      <c r="G31" s="59"/>
      <c r="H31" s="59"/>
      <c r="I31" s="59"/>
      <c r="J31" s="59"/>
      <c r="K31" s="72"/>
      <c r="L31" s="59"/>
      <c r="M31" s="59"/>
      <c r="N31" s="64"/>
      <c r="O31" s="72"/>
      <c r="P31" s="59"/>
      <c r="Q31" s="59"/>
      <c r="R31" s="64"/>
      <c r="S31" s="72"/>
      <c r="T31" s="59"/>
      <c r="U31" s="59"/>
      <c r="V31" s="64"/>
      <c r="W31" s="72"/>
      <c r="X31" s="59"/>
      <c r="Y31" s="59"/>
      <c r="Z31" s="64"/>
      <c r="AA31" s="72"/>
      <c r="AB31" s="59"/>
      <c r="AC31" s="59"/>
      <c r="AD31" s="64"/>
      <c r="AE31" s="72"/>
      <c r="AF31" s="59"/>
      <c r="AG31" s="59"/>
      <c r="AH31" s="64"/>
    </row>
    <row r="32" spans="1:34" x14ac:dyDescent="0.2">
      <c r="A32" s="59" t="s">
        <v>27</v>
      </c>
      <c r="B32" s="59"/>
      <c r="C32" s="97">
        <f>157.9-3</f>
        <v>154.9</v>
      </c>
      <c r="D32" s="97">
        <v>230.6</v>
      </c>
      <c r="E32" s="97">
        <v>174.3</v>
      </c>
      <c r="F32" s="97">
        <v>150.69999999999999</v>
      </c>
      <c r="G32" s="97">
        <v>90.3</v>
      </c>
      <c r="H32" s="97">
        <v>159.69999999999999</v>
      </c>
      <c r="I32" s="97">
        <v>137.5</v>
      </c>
      <c r="J32" s="73"/>
      <c r="K32" s="98">
        <v>46</v>
      </c>
      <c r="L32" s="97">
        <v>53.7</v>
      </c>
      <c r="M32" s="97">
        <v>76.900000000000006</v>
      </c>
      <c r="N32" s="97">
        <v>54</v>
      </c>
      <c r="O32" s="98">
        <v>56.4</v>
      </c>
      <c r="P32" s="97">
        <v>42.3</v>
      </c>
      <c r="Q32" s="97">
        <v>50</v>
      </c>
      <c r="R32" s="99">
        <v>25.6</v>
      </c>
      <c r="S32" s="98">
        <v>37.299999999999997</v>
      </c>
      <c r="T32" s="97">
        <v>48.6</v>
      </c>
      <c r="U32" s="97">
        <v>61.8</v>
      </c>
      <c r="V32" s="99">
        <v>3</v>
      </c>
      <c r="W32" s="98">
        <v>-7.1</v>
      </c>
      <c r="X32" s="97">
        <v>24.1</v>
      </c>
      <c r="Y32" s="97">
        <v>39.1</v>
      </c>
      <c r="Z32" s="99">
        <v>34.200000000000003</v>
      </c>
      <c r="AA32" s="98">
        <v>49.1</v>
      </c>
      <c r="AB32" s="97">
        <v>44.9</v>
      </c>
      <c r="AC32" s="97">
        <v>38.299999999999997</v>
      </c>
      <c r="AD32" s="99">
        <v>27.4</v>
      </c>
      <c r="AE32" s="98">
        <v>42.1</v>
      </c>
      <c r="AF32" s="97">
        <v>41.2</v>
      </c>
      <c r="AG32" s="97">
        <v>33.5</v>
      </c>
      <c r="AH32" s="99">
        <v>20.7</v>
      </c>
    </row>
    <row r="33" spans="1:34" x14ac:dyDescent="0.2">
      <c r="A33" s="59" t="s">
        <v>28</v>
      </c>
      <c r="B33" s="59"/>
      <c r="C33" s="97">
        <v>34</v>
      </c>
      <c r="D33" s="97">
        <v>59.7</v>
      </c>
      <c r="E33" s="97">
        <v>-104.4</v>
      </c>
      <c r="F33" s="97">
        <f>13.8+0.6</f>
        <v>14.4</v>
      </c>
      <c r="G33" s="97">
        <v>7.6</v>
      </c>
      <c r="H33" s="97">
        <v>23.1</v>
      </c>
      <c r="I33" s="97">
        <v>15.7</v>
      </c>
      <c r="J33" s="73"/>
      <c r="K33" s="98">
        <v>9.9</v>
      </c>
      <c r="L33" s="97">
        <v>19.100000000000001</v>
      </c>
      <c r="M33" s="97">
        <v>21.4</v>
      </c>
      <c r="N33" s="97">
        <v>9.3000000000000007</v>
      </c>
      <c r="O33" s="98">
        <v>7.9</v>
      </c>
      <c r="P33" s="97">
        <v>14.7</v>
      </c>
      <c r="Q33" s="97">
        <v>19.5</v>
      </c>
      <c r="R33" s="99">
        <v>-146.5</v>
      </c>
      <c r="S33" s="98">
        <f>7.7+0.1</f>
        <v>7.8</v>
      </c>
      <c r="T33" s="97">
        <f>8.6+0.3</f>
        <v>8.9</v>
      </c>
      <c r="U33" s="97">
        <f>9.2+0.1</f>
        <v>9.2999999999999989</v>
      </c>
      <c r="V33" s="99">
        <f>-11.7+0.1</f>
        <v>-11.6</v>
      </c>
      <c r="W33" s="98">
        <v>-3.3</v>
      </c>
      <c r="X33" s="97">
        <v>1.7</v>
      </c>
      <c r="Y33" s="97">
        <v>11</v>
      </c>
      <c r="Z33" s="99">
        <v>-1.8</v>
      </c>
      <c r="AA33" s="98">
        <v>7.9</v>
      </c>
      <c r="AB33" s="97">
        <v>8.6999999999999993</v>
      </c>
      <c r="AC33" s="97">
        <v>10</v>
      </c>
      <c r="AD33" s="99">
        <v>-3.5</v>
      </c>
      <c r="AE33" s="98">
        <v>8.1999999999999993</v>
      </c>
      <c r="AF33" s="97">
        <v>7.5</v>
      </c>
      <c r="AG33" s="97">
        <v>6.7</v>
      </c>
      <c r="AH33" s="99">
        <v>-6.7</v>
      </c>
    </row>
    <row r="34" spans="1:34" x14ac:dyDescent="0.2">
      <c r="A34" s="59" t="s">
        <v>29</v>
      </c>
      <c r="B34" s="59"/>
      <c r="C34" s="97">
        <v>103.3</v>
      </c>
      <c r="D34" s="97">
        <v>55.3</v>
      </c>
      <c r="E34" s="97">
        <v>54.6</v>
      </c>
      <c r="F34" s="97">
        <v>95.5</v>
      </c>
      <c r="G34" s="97">
        <v>60.3</v>
      </c>
      <c r="H34" s="97">
        <v>55.2</v>
      </c>
      <c r="I34" s="97">
        <v>28.4</v>
      </c>
      <c r="J34" s="73"/>
      <c r="K34" s="98">
        <v>15.4</v>
      </c>
      <c r="L34" s="97">
        <v>12.8</v>
      </c>
      <c r="M34" s="97">
        <v>14.1</v>
      </c>
      <c r="N34" s="97">
        <v>13</v>
      </c>
      <c r="O34" s="98">
        <v>13.1</v>
      </c>
      <c r="P34" s="97">
        <v>13.4</v>
      </c>
      <c r="Q34" s="97">
        <v>16.399999999999999</v>
      </c>
      <c r="R34" s="99">
        <v>11.7</v>
      </c>
      <c r="S34" s="98">
        <v>18.5</v>
      </c>
      <c r="T34" s="97">
        <v>23.2</v>
      </c>
      <c r="U34" s="97">
        <v>34</v>
      </c>
      <c r="V34" s="99">
        <v>19.8</v>
      </c>
      <c r="W34" s="98">
        <v>13</v>
      </c>
      <c r="X34" s="97">
        <v>13.8</v>
      </c>
      <c r="Y34" s="97">
        <v>21.8</v>
      </c>
      <c r="Z34" s="99">
        <v>11.7</v>
      </c>
      <c r="AA34" s="98">
        <v>13.4</v>
      </c>
      <c r="AB34" s="97">
        <v>16.8</v>
      </c>
      <c r="AC34" s="97">
        <v>14.6</v>
      </c>
      <c r="AD34" s="99">
        <v>10.4</v>
      </c>
      <c r="AE34" s="98">
        <v>14</v>
      </c>
      <c r="AF34" s="97">
        <v>13.6</v>
      </c>
      <c r="AG34" s="97">
        <v>11.7</v>
      </c>
      <c r="AH34" s="99">
        <v>-10.9</v>
      </c>
    </row>
    <row r="35" spans="1:34" x14ac:dyDescent="0.2">
      <c r="A35" s="59" t="s">
        <v>30</v>
      </c>
      <c r="B35" s="59"/>
      <c r="C35" s="97">
        <f>31.2+3</f>
        <v>34.200000000000003</v>
      </c>
      <c r="D35" s="97">
        <f>43.4+3.5</f>
        <v>46.9</v>
      </c>
      <c r="E35" s="97">
        <f>64.6+5.6</f>
        <v>70.199999999999989</v>
      </c>
      <c r="F35" s="97">
        <f>40.7+4</f>
        <v>44.7</v>
      </c>
      <c r="G35" s="97">
        <v>17.3</v>
      </c>
      <c r="H35" s="97">
        <v>66.2</v>
      </c>
      <c r="I35" s="97">
        <v>77</v>
      </c>
      <c r="J35" s="73"/>
      <c r="K35" s="98">
        <f>5.1+0.8</f>
        <v>5.8999999999999995</v>
      </c>
      <c r="L35" s="97">
        <f>9.2+1</f>
        <v>10.199999999999999</v>
      </c>
      <c r="M35" s="97">
        <f>9+1</f>
        <v>10</v>
      </c>
      <c r="N35" s="97">
        <f>20.1+0.7</f>
        <v>20.8</v>
      </c>
      <c r="O35" s="98">
        <f>14.3+0.9</f>
        <v>15.200000000000001</v>
      </c>
      <c r="P35" s="97">
        <f>17.4+1.6</f>
        <v>19</v>
      </c>
      <c r="Q35" s="97">
        <f>16.9+1.4</f>
        <v>18.299999999999997</v>
      </c>
      <c r="R35" s="99">
        <f>16+1.7</f>
        <v>17.7</v>
      </c>
      <c r="S35" s="98">
        <f>13.9+1.1</f>
        <v>15</v>
      </c>
      <c r="T35" s="97">
        <f>14.4+1.4</f>
        <v>15.8</v>
      </c>
      <c r="U35" s="97">
        <f>10.8+1</f>
        <v>11.8</v>
      </c>
      <c r="V35" s="99">
        <f>1.6+0.5</f>
        <v>2.1</v>
      </c>
      <c r="W35" s="98">
        <v>-8.5</v>
      </c>
      <c r="X35" s="97">
        <v>1.7</v>
      </c>
      <c r="Y35" s="97">
        <v>8.9</v>
      </c>
      <c r="Z35" s="99">
        <v>15.2</v>
      </c>
      <c r="AA35" s="98">
        <v>8.4</v>
      </c>
      <c r="AB35" s="97">
        <v>18.8</v>
      </c>
      <c r="AC35" s="97">
        <v>19.2</v>
      </c>
      <c r="AD35" s="99">
        <v>19.8</v>
      </c>
      <c r="AE35" s="98">
        <v>18.100000000000001</v>
      </c>
      <c r="AF35" s="97">
        <v>21.4</v>
      </c>
      <c r="AG35" s="97">
        <v>20.6</v>
      </c>
      <c r="AH35" s="99">
        <v>16.899999999999999</v>
      </c>
    </row>
    <row r="36" spans="1:34" x14ac:dyDescent="0.2">
      <c r="A36" s="59" t="s">
        <v>38</v>
      </c>
      <c r="B36" s="59"/>
      <c r="C36" s="97">
        <v>-5.5</v>
      </c>
      <c r="D36" s="97">
        <v>1.8</v>
      </c>
      <c r="E36" s="97">
        <v>0.7</v>
      </c>
      <c r="F36" s="97">
        <v>-11.1</v>
      </c>
      <c r="G36" s="97">
        <v>-12</v>
      </c>
      <c r="H36" s="97">
        <v>-1.2</v>
      </c>
      <c r="I36" s="97">
        <v>-6.8</v>
      </c>
      <c r="J36" s="73"/>
      <c r="K36" s="98">
        <v>-1.1000000000000001</v>
      </c>
      <c r="L36" s="97">
        <v>0.8</v>
      </c>
      <c r="M36" s="97">
        <v>0.9</v>
      </c>
      <c r="N36" s="97">
        <v>1.2</v>
      </c>
      <c r="O36" s="98">
        <v>-0.7</v>
      </c>
      <c r="P36" s="97">
        <v>-1.8</v>
      </c>
      <c r="Q36" s="97">
        <v>0.1</v>
      </c>
      <c r="R36" s="99">
        <v>3.1</v>
      </c>
      <c r="S36" s="98">
        <v>-4.7</v>
      </c>
      <c r="T36" s="97">
        <v>-2.6</v>
      </c>
      <c r="U36" s="97">
        <v>-1</v>
      </c>
      <c r="V36" s="99">
        <v>-2.8</v>
      </c>
      <c r="W36" s="98">
        <v>6.8</v>
      </c>
      <c r="X36" s="97">
        <v>-19.5</v>
      </c>
      <c r="Y36" s="97">
        <v>-1.8</v>
      </c>
      <c r="Z36" s="99">
        <v>2.5</v>
      </c>
      <c r="AA36" s="98">
        <v>0.5</v>
      </c>
      <c r="AB36" s="97">
        <v>-1.9</v>
      </c>
      <c r="AC36" s="97">
        <v>-1.2</v>
      </c>
      <c r="AD36" s="99">
        <v>1.4</v>
      </c>
      <c r="AE36" s="98">
        <v>-2.7</v>
      </c>
      <c r="AF36" s="97">
        <v>-1.1000000000000001</v>
      </c>
      <c r="AG36" s="97">
        <v>-1.8</v>
      </c>
      <c r="AH36" s="99">
        <v>-1.2</v>
      </c>
    </row>
    <row r="37" spans="1:34" x14ac:dyDescent="0.2">
      <c r="A37" s="59" t="s">
        <v>39</v>
      </c>
      <c r="B37" s="59"/>
      <c r="C37" s="100">
        <v>23.9</v>
      </c>
      <c r="D37" s="100">
        <v>-7.4</v>
      </c>
      <c r="E37" s="100">
        <v>1.1000000000000001</v>
      </c>
      <c r="F37" s="100">
        <v>-61.9</v>
      </c>
      <c r="G37" s="100">
        <v>66.8</v>
      </c>
      <c r="H37" s="100">
        <v>-15</v>
      </c>
      <c r="I37" s="100">
        <v>-14</v>
      </c>
      <c r="J37" s="73"/>
      <c r="K37" s="101">
        <v>0</v>
      </c>
      <c r="L37" s="100">
        <v>-2</v>
      </c>
      <c r="M37" s="100">
        <v>-2</v>
      </c>
      <c r="N37" s="100">
        <v>-3.4</v>
      </c>
      <c r="O37" s="101">
        <v>0.8</v>
      </c>
      <c r="P37" s="100">
        <v>0.8</v>
      </c>
      <c r="Q37" s="100">
        <v>2.2000000000000002</v>
      </c>
      <c r="R37" s="102">
        <v>-2.7</v>
      </c>
      <c r="S37" s="101">
        <v>-3.6</v>
      </c>
      <c r="T37" s="100">
        <v>-11.5</v>
      </c>
      <c r="U37" s="100">
        <v>-19.7</v>
      </c>
      <c r="V37" s="102">
        <v>-27.1</v>
      </c>
      <c r="W37" s="101">
        <v>17</v>
      </c>
      <c r="X37" s="100">
        <v>19</v>
      </c>
      <c r="Y37" s="100">
        <v>16</v>
      </c>
      <c r="Z37" s="102">
        <v>14.8</v>
      </c>
      <c r="AA37" s="101">
        <v>-2.1</v>
      </c>
      <c r="AB37" s="100">
        <v>-2.2000000000000002</v>
      </c>
      <c r="AC37" s="100">
        <v>-5.3</v>
      </c>
      <c r="AD37" s="102">
        <v>-5.4</v>
      </c>
      <c r="AE37" s="101">
        <v>-5.5</v>
      </c>
      <c r="AF37" s="100">
        <v>-3.5</v>
      </c>
      <c r="AG37" s="100">
        <v>0.9</v>
      </c>
      <c r="AH37" s="102">
        <v>-5.9</v>
      </c>
    </row>
    <row r="38" spans="1:34" x14ac:dyDescent="0.2">
      <c r="A38" s="79" t="s">
        <v>31</v>
      </c>
      <c r="B38" s="79"/>
      <c r="C38" s="103">
        <f t="shared" ref="C38:G38" si="15">SUM(C32:C37)</f>
        <v>344.79999999999995</v>
      </c>
      <c r="D38" s="103">
        <f t="shared" si="15"/>
        <v>386.90000000000003</v>
      </c>
      <c r="E38" s="103">
        <f t="shared" si="15"/>
        <v>196.49999999999997</v>
      </c>
      <c r="F38" s="103">
        <f t="shared" si="15"/>
        <v>232.29999999999998</v>
      </c>
      <c r="G38" s="103">
        <f t="shared" si="15"/>
        <v>230.3</v>
      </c>
      <c r="H38" s="103">
        <f t="shared" ref="H38:I38" si="16">SUM(H32:H37)</f>
        <v>288</v>
      </c>
      <c r="I38" s="103">
        <f t="shared" si="16"/>
        <v>237.8</v>
      </c>
      <c r="J38" s="73"/>
      <c r="K38" s="104">
        <f t="shared" ref="K38:AD38" si="17">SUM(K31:K37)</f>
        <v>76.100000000000009</v>
      </c>
      <c r="L38" s="103">
        <f t="shared" si="17"/>
        <v>94.600000000000009</v>
      </c>
      <c r="M38" s="103">
        <f t="shared" si="17"/>
        <v>121.30000000000001</v>
      </c>
      <c r="N38" s="103">
        <f t="shared" si="17"/>
        <v>94.899999999999991</v>
      </c>
      <c r="O38" s="104">
        <f t="shared" si="17"/>
        <v>92.699999999999989</v>
      </c>
      <c r="P38" s="103">
        <f t="shared" si="17"/>
        <v>88.4</v>
      </c>
      <c r="Q38" s="103">
        <f t="shared" si="17"/>
        <v>106.5</v>
      </c>
      <c r="R38" s="105">
        <f t="shared" si="17"/>
        <v>-91.100000000000009</v>
      </c>
      <c r="S38" s="104">
        <f t="shared" si="17"/>
        <v>70.3</v>
      </c>
      <c r="T38" s="103">
        <f t="shared" si="17"/>
        <v>82.4</v>
      </c>
      <c r="U38" s="103">
        <f t="shared" si="17"/>
        <v>96.199999999999989</v>
      </c>
      <c r="V38" s="105">
        <f t="shared" si="17"/>
        <v>-16.600000000000001</v>
      </c>
      <c r="W38" s="104">
        <f t="shared" si="17"/>
        <v>17.900000000000002</v>
      </c>
      <c r="X38" s="103">
        <f t="shared" si="17"/>
        <v>40.800000000000004</v>
      </c>
      <c r="Y38" s="103">
        <f t="shared" si="17"/>
        <v>95.000000000000014</v>
      </c>
      <c r="Z38" s="105">
        <f t="shared" si="17"/>
        <v>76.600000000000009</v>
      </c>
      <c r="AA38" s="104">
        <f t="shared" si="17"/>
        <v>77.200000000000017</v>
      </c>
      <c r="AB38" s="103">
        <f t="shared" si="17"/>
        <v>85.09999999999998</v>
      </c>
      <c r="AC38" s="103">
        <f>SUM(AC31:AC37)</f>
        <v>75.599999999999994</v>
      </c>
      <c r="AD38" s="105">
        <f t="shared" si="17"/>
        <v>50.099999999999994</v>
      </c>
      <c r="AE38" s="104">
        <f>SUM(AE31:AE37)</f>
        <v>74.2</v>
      </c>
      <c r="AF38" s="103">
        <f t="shared" ref="AF38" si="18">SUM(AF31:AF37)</f>
        <v>79.100000000000009</v>
      </c>
      <c r="AG38" s="103">
        <f>SUM(AG31:AG37)</f>
        <v>71.600000000000009</v>
      </c>
      <c r="AH38" s="105">
        <f t="shared" ref="AH38" si="19">SUM(AH31:AH37)</f>
        <v>12.9</v>
      </c>
    </row>
    <row r="39" spans="1:34" ht="13.5" thickBo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72"/>
      <c r="L39" s="59"/>
      <c r="M39" s="59"/>
      <c r="N39" s="64"/>
      <c r="O39" s="72"/>
      <c r="P39" s="59"/>
      <c r="Q39" s="59"/>
      <c r="R39" s="64"/>
      <c r="S39" s="72"/>
      <c r="T39" s="59"/>
      <c r="U39" s="59"/>
      <c r="V39" s="64"/>
      <c r="W39" s="72"/>
      <c r="X39" s="59"/>
      <c r="Y39" s="59"/>
      <c r="Z39" s="64"/>
      <c r="AA39" s="72"/>
      <c r="AB39" s="59"/>
      <c r="AC39" s="59"/>
      <c r="AD39" s="64"/>
      <c r="AE39" s="72"/>
      <c r="AF39" s="59"/>
      <c r="AG39" s="59"/>
      <c r="AH39" s="64"/>
    </row>
    <row r="40" spans="1:34" ht="13.5" thickBot="1" x14ac:dyDescent="0.25">
      <c r="A40" s="69" t="s">
        <v>40</v>
      </c>
      <c r="B40" s="59"/>
      <c r="C40" s="59"/>
      <c r="D40" s="59"/>
      <c r="E40" s="59"/>
      <c r="F40" s="59"/>
      <c r="G40" s="59"/>
      <c r="H40" s="59"/>
      <c r="I40" s="59"/>
      <c r="J40" s="59"/>
      <c r="K40" s="72"/>
      <c r="L40" s="59"/>
      <c r="M40" s="59"/>
      <c r="N40" s="64"/>
      <c r="O40" s="72"/>
      <c r="P40" s="59"/>
      <c r="Q40" s="59"/>
      <c r="R40" s="64"/>
      <c r="S40" s="72"/>
      <c r="T40" s="59"/>
      <c r="U40" s="59"/>
      <c r="V40" s="64"/>
      <c r="W40" s="72"/>
      <c r="X40" s="59"/>
      <c r="Y40" s="59"/>
      <c r="Z40" s="64"/>
      <c r="AA40" s="72"/>
      <c r="AB40" s="59"/>
      <c r="AC40" s="59"/>
      <c r="AD40" s="64"/>
      <c r="AE40" s="72"/>
      <c r="AF40" s="59"/>
      <c r="AG40" s="59"/>
      <c r="AH40" s="64"/>
    </row>
    <row r="41" spans="1:34" x14ac:dyDescent="0.2">
      <c r="A41" s="59" t="s">
        <v>27</v>
      </c>
      <c r="B41" s="2"/>
      <c r="C41" s="90">
        <f t="shared" ref="C41:I44" si="20">+C32/C19</f>
        <v>6.923833363132488E-2</v>
      </c>
      <c r="D41" s="88">
        <f t="shared" si="20"/>
        <v>9.7782300809905437E-2</v>
      </c>
      <c r="E41" s="88">
        <f t="shared" si="20"/>
        <v>7.7329192546583853E-2</v>
      </c>
      <c r="F41" s="88">
        <f t="shared" si="20"/>
        <v>7.1091612416265673E-2</v>
      </c>
      <c r="G41" s="88">
        <f t="shared" si="20"/>
        <v>5.3330970942593904E-2</v>
      </c>
      <c r="H41" s="88">
        <f t="shared" si="20"/>
        <v>9.1424318754293563E-2</v>
      </c>
      <c r="I41" s="88">
        <f t="shared" si="20"/>
        <v>7.4874754955347414E-2</v>
      </c>
      <c r="J41" s="59"/>
      <c r="K41" s="106">
        <f t="shared" ref="K41:Z44" si="21">+K32/K19</f>
        <v>7.851169141491722E-2</v>
      </c>
      <c r="L41" s="88">
        <f t="shared" si="21"/>
        <v>9.0267271810388308E-2</v>
      </c>
      <c r="M41" s="88">
        <f t="shared" si="21"/>
        <v>0.12602425434283843</v>
      </c>
      <c r="N41" s="88">
        <f t="shared" si="21"/>
        <v>9.5187731359069286E-2</v>
      </c>
      <c r="O41" s="106">
        <f t="shared" si="21"/>
        <v>9.5918367346938774E-2</v>
      </c>
      <c r="P41" s="88">
        <f t="shared" si="21"/>
        <v>7.4814290767598157E-2</v>
      </c>
      <c r="Q41" s="88">
        <f t="shared" si="21"/>
        <v>8.8152327221438634E-2</v>
      </c>
      <c r="R41" s="107">
        <f t="shared" si="21"/>
        <v>4.7994000749906264E-2</v>
      </c>
      <c r="S41" s="106">
        <f t="shared" si="21"/>
        <v>7.138755980861243E-2</v>
      </c>
      <c r="T41" s="88">
        <f t="shared" si="21"/>
        <v>8.712800286841163E-2</v>
      </c>
      <c r="U41" s="88">
        <f>+U32/U19</f>
        <v>0.10655172413793103</v>
      </c>
      <c r="V41" s="107">
        <f t="shared" si="21"/>
        <v>6.5288356909684441E-3</v>
      </c>
      <c r="W41" s="106">
        <f t="shared" si="21"/>
        <v>-1.7149758454106278E-2</v>
      </c>
      <c r="X41" s="88">
        <f t="shared" si="21"/>
        <v>5.733999524149417E-2</v>
      </c>
      <c r="Y41" s="88">
        <f t="shared" si="21"/>
        <v>8.8202120460184982E-2</v>
      </c>
      <c r="Z41" s="107">
        <f t="shared" si="21"/>
        <v>8.229066410009625E-2</v>
      </c>
      <c r="AA41" s="106">
        <f>+AA32/AA19</f>
        <v>0.1130554915956712</v>
      </c>
      <c r="AB41" s="88">
        <f t="shared" ref="AB41:AH44" si="22">+AB32/AB19</f>
        <v>9.8163533012680368E-2</v>
      </c>
      <c r="AC41" s="88">
        <f t="shared" si="22"/>
        <v>8.6319585305386512E-2</v>
      </c>
      <c r="AD41" s="107">
        <f t="shared" si="22"/>
        <v>6.6618040359834665E-2</v>
      </c>
      <c r="AE41" s="106">
        <f t="shared" si="22"/>
        <v>9.1561548499347542E-2</v>
      </c>
      <c r="AF41" s="88">
        <f t="shared" si="22"/>
        <v>8.8090656403677581E-2</v>
      </c>
      <c r="AG41" s="88">
        <f t="shared" si="22"/>
        <v>7.0929493965699766E-2</v>
      </c>
      <c r="AH41" s="107">
        <f t="shared" si="22"/>
        <v>4.741181859825927E-2</v>
      </c>
    </row>
    <row r="42" spans="1:34" x14ac:dyDescent="0.2">
      <c r="A42" s="59" t="s">
        <v>28</v>
      </c>
      <c r="B42" s="108"/>
      <c r="C42" s="90">
        <f t="shared" si="20"/>
        <v>3.8392050587172537E-2</v>
      </c>
      <c r="D42" s="88">
        <f t="shared" si="20"/>
        <v>6.9346033221047751E-2</v>
      </c>
      <c r="E42" s="88">
        <f t="shared" si="20"/>
        <v>-0.12467160257941248</v>
      </c>
      <c r="F42" s="88">
        <f t="shared" si="20"/>
        <v>2.0244622522142559E-2</v>
      </c>
      <c r="G42" s="88">
        <f t="shared" si="20"/>
        <v>1.5466015466015465E-2</v>
      </c>
      <c r="H42" s="88">
        <f t="shared" si="20"/>
        <v>4.3193717277486915E-2</v>
      </c>
      <c r="I42" s="88">
        <f t="shared" si="20"/>
        <v>3.0948156909126747E-2</v>
      </c>
      <c r="J42" s="59"/>
      <c r="K42" s="106">
        <f t="shared" si="21"/>
        <v>4.8058252427184471E-2</v>
      </c>
      <c r="L42" s="88">
        <f t="shared" si="21"/>
        <v>8.6464463558171126E-2</v>
      </c>
      <c r="M42" s="88">
        <f t="shared" si="21"/>
        <v>8.6569579288025889E-2</v>
      </c>
      <c r="N42" s="88">
        <f t="shared" si="21"/>
        <v>4.9785867237687367E-2</v>
      </c>
      <c r="O42" s="106">
        <f t="shared" si="21"/>
        <v>4.0554414784394248E-2</v>
      </c>
      <c r="P42" s="88">
        <f t="shared" si="21"/>
        <v>6.7524115755627015E-2</v>
      </c>
      <c r="Q42" s="88">
        <f t="shared" si="21"/>
        <v>8.1487672377768494E-2</v>
      </c>
      <c r="R42" s="107">
        <f t="shared" si="21"/>
        <v>-0.7893318965517242</v>
      </c>
      <c r="S42" s="106">
        <f t="shared" si="21"/>
        <v>4.0625000000000001E-2</v>
      </c>
      <c r="T42" s="88">
        <f t="shared" si="21"/>
        <v>4.836956521739131E-2</v>
      </c>
      <c r="U42" s="88">
        <f>+U33/U20</f>
        <v>4.6616541353383452E-2</v>
      </c>
      <c r="V42" s="107">
        <f t="shared" si="21"/>
        <v>-8.5419734904270975E-2</v>
      </c>
      <c r="W42" s="106">
        <f t="shared" si="21"/>
        <v>-2.8571428571428571E-2</v>
      </c>
      <c r="X42" s="88">
        <f t="shared" si="21"/>
        <v>1.2937595129375951E-2</v>
      </c>
      <c r="Y42" s="88">
        <f t="shared" si="21"/>
        <v>7.6762037683182127E-2</v>
      </c>
      <c r="Z42" s="107">
        <f t="shared" si="21"/>
        <v>-1.7786561264822136E-2</v>
      </c>
      <c r="AA42" s="106">
        <f>+AA33/AA20</f>
        <v>5.5751587861679615E-2</v>
      </c>
      <c r="AB42" s="88">
        <f t="shared" si="22"/>
        <v>6.1354019746121286E-2</v>
      </c>
      <c r="AC42" s="88">
        <f t="shared" si="22"/>
        <v>6.6889632107023408E-2</v>
      </c>
      <c r="AD42" s="107">
        <f t="shared" si="22"/>
        <v>-3.4381139489194502E-2</v>
      </c>
      <c r="AE42" s="106">
        <f t="shared" si="22"/>
        <v>6.3565891472868216E-2</v>
      </c>
      <c r="AF42" s="88">
        <f t="shared" si="22"/>
        <v>5.4034582132564839E-2</v>
      </c>
      <c r="AG42" s="88">
        <f t="shared" si="22"/>
        <v>4.728299223712068E-2</v>
      </c>
      <c r="AH42" s="107">
        <f t="shared" si="22"/>
        <v>-6.8507157464212681E-2</v>
      </c>
    </row>
    <row r="43" spans="1:34" x14ac:dyDescent="0.2">
      <c r="A43" s="59" t="s">
        <v>29</v>
      </c>
      <c r="B43" s="108"/>
      <c r="C43" s="90">
        <f t="shared" si="20"/>
        <v>0.11663091340182906</v>
      </c>
      <c r="D43" s="88">
        <f t="shared" si="20"/>
        <v>7.0580727504786209E-2</v>
      </c>
      <c r="E43" s="88">
        <f t="shared" si="20"/>
        <v>7.0388036612092295E-2</v>
      </c>
      <c r="F43" s="88">
        <f t="shared" si="20"/>
        <v>9.8840819706064995E-2</v>
      </c>
      <c r="G43" s="88">
        <f t="shared" si="20"/>
        <v>9.3228200371057515E-2</v>
      </c>
      <c r="H43" s="88">
        <f t="shared" si="20"/>
        <v>7.6116933259790395E-2</v>
      </c>
      <c r="I43" s="88">
        <f t="shared" si="20"/>
        <v>3.3146591970121382E-2</v>
      </c>
      <c r="J43" s="59"/>
      <c r="K43" s="106">
        <f t="shared" si="21"/>
        <v>7.4866310160427815E-2</v>
      </c>
      <c r="L43" s="88">
        <f t="shared" si="21"/>
        <v>6.6597294484911557E-2</v>
      </c>
      <c r="M43" s="88">
        <f t="shared" si="21"/>
        <v>7.0961248112732772E-2</v>
      </c>
      <c r="N43" s="88">
        <f t="shared" si="21"/>
        <v>6.9555912252541457E-2</v>
      </c>
      <c r="O43" s="106">
        <f t="shared" si="21"/>
        <v>6.8550497121925694E-2</v>
      </c>
      <c r="P43" s="88">
        <f t="shared" si="21"/>
        <v>6.8332483426823049E-2</v>
      </c>
      <c r="Q43" s="88">
        <f t="shared" si="21"/>
        <v>8.2288008028098339E-2</v>
      </c>
      <c r="R43" s="107">
        <f t="shared" si="21"/>
        <v>6.1839323467230443E-2</v>
      </c>
      <c r="S43" s="106">
        <f t="shared" si="21"/>
        <v>8.7058823529411758E-2</v>
      </c>
      <c r="T43" s="88">
        <f t="shared" si="21"/>
        <v>9.3813182369591588E-2</v>
      </c>
      <c r="U43" s="88">
        <f>+U34/U21</f>
        <v>0.11592226389362427</v>
      </c>
      <c r="V43" s="107">
        <f t="shared" si="21"/>
        <v>9.2914124824026278E-2</v>
      </c>
      <c r="W43" s="106">
        <f t="shared" si="21"/>
        <v>7.8835657974530016E-2</v>
      </c>
      <c r="X43" s="88">
        <f t="shared" si="21"/>
        <v>9.0491803278688526E-2</v>
      </c>
      <c r="Y43" s="88">
        <f t="shared" si="21"/>
        <v>0.12659698025551686</v>
      </c>
      <c r="Z43" s="107">
        <f t="shared" si="21"/>
        <v>7.4427480916030533E-2</v>
      </c>
      <c r="AA43" s="106">
        <f>+AA34/AA21</f>
        <v>7.5663466967814799E-2</v>
      </c>
      <c r="AB43" s="88">
        <f t="shared" si="22"/>
        <v>8.6286594761171037E-2</v>
      </c>
      <c r="AC43" s="88">
        <f t="shared" si="22"/>
        <v>7.9694323144104809E-2</v>
      </c>
      <c r="AD43" s="107">
        <f t="shared" si="22"/>
        <v>6.1104582843713284E-2</v>
      </c>
      <c r="AE43" s="106">
        <f t="shared" si="22"/>
        <v>6.6571564431764138E-2</v>
      </c>
      <c r="AF43" s="88">
        <f t="shared" si="22"/>
        <v>5.9362723701440419E-2</v>
      </c>
      <c r="AG43" s="88">
        <f t="shared" si="22"/>
        <v>5.3991693585602213E-2</v>
      </c>
      <c r="AH43" s="107">
        <f t="shared" si="22"/>
        <v>-5.430991529646239E-2</v>
      </c>
    </row>
    <row r="44" spans="1:34" x14ac:dyDescent="0.2">
      <c r="A44" s="59" t="s">
        <v>30</v>
      </c>
      <c r="B44" s="108"/>
      <c r="C44" s="90">
        <f t="shared" si="20"/>
        <v>5.6056384199311589E-2</v>
      </c>
      <c r="D44" s="88">
        <f t="shared" si="20"/>
        <v>7.55598517802481E-2</v>
      </c>
      <c r="E44" s="88">
        <f t="shared" si="20"/>
        <v>9.8181818181818162E-2</v>
      </c>
      <c r="F44" s="88">
        <f t="shared" si="20"/>
        <v>6.557136570338859E-2</v>
      </c>
      <c r="G44" s="88">
        <f t="shared" si="20"/>
        <v>3.4537831902575367E-2</v>
      </c>
      <c r="H44" s="88">
        <f t="shared" si="20"/>
        <v>0.1051962498013666</v>
      </c>
      <c r="I44" s="88">
        <f t="shared" si="20"/>
        <v>0.1045911437109481</v>
      </c>
      <c r="J44" s="59"/>
      <c r="K44" s="106">
        <f t="shared" si="21"/>
        <v>3.9972899728997285E-2</v>
      </c>
      <c r="L44" s="88">
        <f t="shared" si="21"/>
        <v>6.300185299567633E-2</v>
      </c>
      <c r="M44" s="88">
        <f t="shared" si="21"/>
        <v>6.7704807041299941E-2</v>
      </c>
      <c r="N44" s="88">
        <f t="shared" si="21"/>
        <v>0.12721712538226301</v>
      </c>
      <c r="O44" s="106">
        <f t="shared" si="21"/>
        <v>9.3366093366093361E-2</v>
      </c>
      <c r="P44" s="88">
        <f t="shared" si="21"/>
        <v>0.10650224215246637</v>
      </c>
      <c r="Q44" s="88">
        <f t="shared" si="21"/>
        <v>0.1056581986143187</v>
      </c>
      <c r="R44" s="107">
        <f t="shared" si="21"/>
        <v>8.8103534096565447E-2</v>
      </c>
      <c r="S44" s="106">
        <f t="shared" si="21"/>
        <v>8.8809946714031973E-2</v>
      </c>
      <c r="T44" s="88">
        <f t="shared" si="21"/>
        <v>8.8022284122562675E-2</v>
      </c>
      <c r="U44" s="88">
        <f>+U35/U22</f>
        <v>6.86046511627907E-2</v>
      </c>
      <c r="V44" s="107">
        <f t="shared" si="21"/>
        <v>1.3019218846869187E-2</v>
      </c>
      <c r="W44" s="106">
        <f t="shared" si="21"/>
        <v>-8.141762452107279E-2</v>
      </c>
      <c r="X44" s="88">
        <f t="shared" si="21"/>
        <v>1.4178482068390324E-2</v>
      </c>
      <c r="Y44" s="88">
        <f t="shared" si="21"/>
        <v>7.1371291098636727E-2</v>
      </c>
      <c r="Z44" s="107">
        <f t="shared" si="21"/>
        <v>0.10006583278472679</v>
      </c>
      <c r="AA44" s="106">
        <f>+AA35/AA22</f>
        <v>6.1583577712609971E-2</v>
      </c>
      <c r="AB44" s="88">
        <f t="shared" si="22"/>
        <v>0.12051282051282051</v>
      </c>
      <c r="AC44" s="88">
        <f t="shared" si="22"/>
        <v>0.12007504690431518</v>
      </c>
      <c r="AD44" s="107">
        <f t="shared" si="22"/>
        <v>0.11186440677966102</v>
      </c>
      <c r="AE44" s="106">
        <f t="shared" si="22"/>
        <v>0.10354691075514874</v>
      </c>
      <c r="AF44" s="88">
        <f t="shared" si="22"/>
        <v>0.11474530831099194</v>
      </c>
      <c r="AG44" s="88">
        <f t="shared" si="22"/>
        <v>0.10974960042621205</v>
      </c>
      <c r="AH44" s="107">
        <f t="shared" si="22"/>
        <v>9.0277777777777776E-2</v>
      </c>
    </row>
    <row r="45" spans="1:34" x14ac:dyDescent="0.2">
      <c r="A45" s="79" t="s">
        <v>41</v>
      </c>
      <c r="B45" s="109"/>
      <c r="C45" s="110">
        <f t="shared" ref="C45:I45" si="23">+C38/C11</f>
        <v>8.2153919466285447E-2</v>
      </c>
      <c r="D45" s="111">
        <f t="shared" si="23"/>
        <v>9.0674728725772799E-2</v>
      </c>
      <c r="E45" s="111">
        <f t="shared" si="23"/>
        <v>4.6235294117647055E-2</v>
      </c>
      <c r="F45" s="111">
        <f t="shared" si="23"/>
        <v>5.6990750962930242E-2</v>
      </c>
      <c r="G45" s="111">
        <f t="shared" si="23"/>
        <v>7.5382147883866324E-2</v>
      </c>
      <c r="H45" s="111">
        <f t="shared" si="23"/>
        <v>8.573725104938823E-2</v>
      </c>
      <c r="I45" s="111">
        <f t="shared" si="23"/>
        <v>6.540154015401542E-2</v>
      </c>
      <c r="J45" s="79"/>
      <c r="K45" s="112">
        <f t="shared" ref="K45:AH45" si="24">+K38/K11</f>
        <v>7.2669977081741791E-2</v>
      </c>
      <c r="L45" s="111">
        <f t="shared" si="24"/>
        <v>8.7714418173388972E-2</v>
      </c>
      <c r="M45" s="111">
        <f t="shared" si="24"/>
        <v>0.10874047512326313</v>
      </c>
      <c r="N45" s="111">
        <f t="shared" si="24"/>
        <v>9.2522179974651439E-2</v>
      </c>
      <c r="O45" s="112">
        <f t="shared" si="24"/>
        <v>8.8487972508591056E-2</v>
      </c>
      <c r="P45" s="111">
        <f t="shared" si="24"/>
        <v>8.257823446987389E-2</v>
      </c>
      <c r="Q45" s="111">
        <f t="shared" si="24"/>
        <v>9.7509613623878402E-2</v>
      </c>
      <c r="R45" s="113">
        <f t="shared" si="24"/>
        <v>-8.7621429258439937E-2</v>
      </c>
      <c r="S45" s="112">
        <f t="shared" si="24"/>
        <v>7.0419713512972049E-2</v>
      </c>
      <c r="T45" s="111">
        <f t="shared" si="24"/>
        <v>7.7509171291505988E-2</v>
      </c>
      <c r="U45" s="111">
        <f>+U38/U11</f>
        <v>8.4967320261437898E-2</v>
      </c>
      <c r="V45" s="113">
        <f t="shared" si="24"/>
        <v>-1.8810198300283288E-2</v>
      </c>
      <c r="W45" s="112">
        <f t="shared" si="24"/>
        <v>2.4926890405236046E-2</v>
      </c>
      <c r="X45" s="111">
        <f t="shared" si="24"/>
        <v>5.3868497491418019E-2</v>
      </c>
      <c r="Y45" s="111">
        <f t="shared" si="24"/>
        <v>0.11729843190517349</v>
      </c>
      <c r="Z45" s="113">
        <f t="shared" si="24"/>
        <v>9.9519293231129027E-2</v>
      </c>
      <c r="AA45" s="112">
        <f t="shared" si="24"/>
        <v>9.4561489465948084E-2</v>
      </c>
      <c r="AB45" s="111">
        <f t="shared" si="24"/>
        <v>9.7335010865835514E-2</v>
      </c>
      <c r="AC45" s="111">
        <f t="shared" si="24"/>
        <v>8.7247547605308701E-2</v>
      </c>
      <c r="AD45" s="113">
        <f t="shared" si="24"/>
        <v>6.2476618032173581E-2</v>
      </c>
      <c r="AE45" s="112">
        <f t="shared" si="24"/>
        <v>8.283098906005805E-2</v>
      </c>
      <c r="AF45" s="111">
        <f t="shared" si="24"/>
        <v>8.3685992382564536E-2</v>
      </c>
      <c r="AG45" s="111">
        <f t="shared" si="24"/>
        <v>7.6097353597619308E-2</v>
      </c>
      <c r="AH45" s="113">
        <f t="shared" si="24"/>
        <v>1.510361784334387E-2</v>
      </c>
    </row>
    <row r="46" spans="1:34" x14ac:dyDescent="0.2">
      <c r="A46" s="2" t="s">
        <v>42</v>
      </c>
      <c r="B46" s="109"/>
      <c r="C46" s="110"/>
      <c r="D46" s="111"/>
      <c r="E46" s="111"/>
      <c r="F46" s="111"/>
      <c r="G46" s="111"/>
      <c r="H46" s="111"/>
      <c r="I46" s="111"/>
      <c r="J46" s="79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4" x14ac:dyDescent="0.2">
      <c r="A47" s="2" t="s">
        <v>43</v>
      </c>
      <c r="B47" s="2"/>
      <c r="C47" s="59"/>
      <c r="D47" s="59"/>
      <c r="E47" s="59"/>
      <c r="F47" s="59"/>
      <c r="G47" s="59"/>
      <c r="H47" s="59"/>
      <c r="I47" s="59"/>
      <c r="J47" s="59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</sheetData>
  <mergeCells count="7">
    <mergeCell ref="C4:I4"/>
    <mergeCell ref="AE4:AH4"/>
    <mergeCell ref="K4:N4"/>
    <mergeCell ref="O4:R4"/>
    <mergeCell ref="S4:V4"/>
    <mergeCell ref="W4:Z4"/>
    <mergeCell ref="AA4:AD4"/>
  </mergeCells>
  <pageMargins left="0.45" right="0.2" top="0.75" bottom="0.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23" sqref="V23"/>
    </sheetView>
  </sheetViews>
  <sheetFormatPr defaultColWidth="9.140625" defaultRowHeight="12.75" x14ac:dyDescent="0.2"/>
  <cols>
    <col min="1" max="1" width="25.85546875" style="1" customWidth="1"/>
    <col min="2" max="2" width="2.7109375" style="1" customWidth="1"/>
    <col min="3" max="6" width="7" style="1" customWidth="1"/>
    <col min="7" max="7" width="7.28515625" style="1" bestFit="1" customWidth="1"/>
    <col min="8" max="10" width="7" style="1" customWidth="1"/>
    <col min="11" max="11" width="6.5703125" style="1" bestFit="1" customWidth="1"/>
    <col min="12" max="12" width="7.28515625" style="1" bestFit="1" customWidth="1"/>
    <col min="13" max="13" width="6" style="1" bestFit="1" customWidth="1"/>
    <col min="14" max="17" width="7.28515625" style="1" bestFit="1" customWidth="1"/>
    <col min="18" max="16384" width="9.140625" style="1"/>
  </cols>
  <sheetData>
    <row r="1" spans="1:18" s="3" customFormat="1" ht="15" customHeight="1" x14ac:dyDescent="0.3">
      <c r="A1" s="5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5" customHeight="1" x14ac:dyDescent="0.25">
      <c r="A2" s="53" t="s">
        <v>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9"/>
    </row>
    <row r="3" spans="1:18" ht="8.1" customHeight="1" thickBot="1" x14ac:dyDescent="0.3">
      <c r="A3" s="6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7" customFormat="1" ht="12" thickBot="1" x14ac:dyDescent="0.25">
      <c r="C4" s="159">
        <v>2012</v>
      </c>
      <c r="D4" s="160"/>
      <c r="E4" s="160"/>
      <c r="F4" s="160"/>
      <c r="G4" s="161"/>
      <c r="H4" s="159">
        <v>2013</v>
      </c>
      <c r="I4" s="160"/>
      <c r="J4" s="160"/>
      <c r="K4" s="160"/>
      <c r="L4" s="161"/>
      <c r="M4" s="159">
        <v>2014</v>
      </c>
      <c r="N4" s="160"/>
      <c r="O4" s="160"/>
      <c r="P4" s="160"/>
      <c r="Q4" s="161"/>
    </row>
    <row r="5" spans="1:18" s="7" customFormat="1" ht="12" thickBot="1" x14ac:dyDescent="0.25">
      <c r="A5" s="8"/>
      <c r="B5" s="8"/>
      <c r="C5" s="9" t="s">
        <v>46</v>
      </c>
      <c r="D5" s="10" t="s">
        <v>47</v>
      </c>
      <c r="E5" s="10" t="s">
        <v>48</v>
      </c>
      <c r="F5" s="11" t="s">
        <v>49</v>
      </c>
      <c r="G5" s="114" t="s">
        <v>50</v>
      </c>
      <c r="H5" s="9" t="s">
        <v>51</v>
      </c>
      <c r="I5" s="10" t="s">
        <v>52</v>
      </c>
      <c r="J5" s="10" t="s">
        <v>53</v>
      </c>
      <c r="K5" s="11" t="s">
        <v>54</v>
      </c>
      <c r="L5" s="114" t="s">
        <v>55</v>
      </c>
      <c r="M5" s="9" t="s">
        <v>56</v>
      </c>
      <c r="N5" s="10" t="s">
        <v>57</v>
      </c>
      <c r="O5" s="10" t="s">
        <v>58</v>
      </c>
      <c r="P5" s="11" t="s">
        <v>59</v>
      </c>
      <c r="Q5" s="114" t="s">
        <v>60</v>
      </c>
    </row>
    <row r="6" spans="1:18" s="7" customFormat="1" ht="12" thickBot="1" x14ac:dyDescent="0.25">
      <c r="A6" s="13" t="s">
        <v>61</v>
      </c>
      <c r="C6" s="14"/>
      <c r="F6" s="15"/>
      <c r="G6" s="115"/>
      <c r="H6" s="14"/>
      <c r="K6" s="15"/>
      <c r="L6" s="115"/>
      <c r="M6" s="14"/>
      <c r="P6" s="15"/>
      <c r="Q6" s="115"/>
    </row>
    <row r="7" spans="1:18" s="7" customFormat="1" ht="11.25" x14ac:dyDescent="0.2">
      <c r="A7" s="7" t="s">
        <v>62</v>
      </c>
      <c r="C7" s="16">
        <v>339.40000000000003</v>
      </c>
      <c r="D7" s="17">
        <v>328.7</v>
      </c>
      <c r="E7" s="17">
        <v>341.49999999999994</v>
      </c>
      <c r="F7" s="18">
        <v>314.8</v>
      </c>
      <c r="G7" s="116">
        <f>SUM(C7:F7)</f>
        <v>1324.3999999999999</v>
      </c>
      <c r="H7" s="16">
        <v>332.9</v>
      </c>
      <c r="I7" s="17">
        <v>343.5</v>
      </c>
      <c r="J7" s="17">
        <v>358.69999999999993</v>
      </c>
      <c r="K7" s="18">
        <v>338</v>
      </c>
      <c r="L7" s="116">
        <f>SUM(H7:K7)</f>
        <v>1373.1</v>
      </c>
      <c r="M7" s="16">
        <v>341.6</v>
      </c>
      <c r="N7" s="17">
        <v>381.59999999999991</v>
      </c>
      <c r="O7" s="17">
        <v>446.2</v>
      </c>
      <c r="P7" s="18">
        <v>404.79999999999995</v>
      </c>
      <c r="Q7" s="116">
        <f>SUM(M7:P7)</f>
        <v>1574.1999999999998</v>
      </c>
    </row>
    <row r="8" spans="1:18" s="7" customFormat="1" ht="11.25" x14ac:dyDescent="0.2">
      <c r="A8" s="7" t="s">
        <v>63</v>
      </c>
      <c r="C8" s="16">
        <v>150.69999999999999</v>
      </c>
      <c r="D8" s="17">
        <v>150.70000000000002</v>
      </c>
      <c r="E8" s="17">
        <v>139.79999999999998</v>
      </c>
      <c r="F8" s="18">
        <v>117.69999999999999</v>
      </c>
      <c r="G8" s="116">
        <f t="shared" ref="G8:G9" si="0">SUM(C8:F8)</f>
        <v>558.89999999999986</v>
      </c>
      <c r="H8" s="16">
        <v>143.19999999999999</v>
      </c>
      <c r="I8" s="17">
        <v>138.9</v>
      </c>
      <c r="J8" s="17">
        <v>129.69999999999999</v>
      </c>
      <c r="K8" s="18">
        <v>117.79999999999998</v>
      </c>
      <c r="L8" s="116">
        <f t="shared" ref="L8:L9" si="1">SUM(H8:K8)</f>
        <v>529.6</v>
      </c>
      <c r="M8" s="16">
        <v>125.1</v>
      </c>
      <c r="N8" s="17">
        <v>135.60000000000002</v>
      </c>
      <c r="O8" s="17">
        <v>124.20000000000002</v>
      </c>
      <c r="P8" s="18">
        <v>107.09999999999998</v>
      </c>
      <c r="Q8" s="116">
        <f t="shared" ref="Q8:Q9" si="2">SUM(M8:P8)</f>
        <v>492.00000000000006</v>
      </c>
    </row>
    <row r="9" spans="1:18" s="7" customFormat="1" ht="11.25" x14ac:dyDescent="0.2">
      <c r="A9" s="7" t="s">
        <v>64</v>
      </c>
      <c r="C9" s="16">
        <v>225.2</v>
      </c>
      <c r="D9" s="17">
        <v>216.7</v>
      </c>
      <c r="E9" s="17">
        <v>211.60000000000002</v>
      </c>
      <c r="F9" s="18">
        <v>210</v>
      </c>
      <c r="G9" s="116">
        <f t="shared" si="0"/>
        <v>863.5</v>
      </c>
      <c r="H9" s="16">
        <v>214.60000000000002</v>
      </c>
      <c r="I9" s="17">
        <v>212.8</v>
      </c>
      <c r="J9" s="17">
        <v>214.4</v>
      </c>
      <c r="K9" s="18">
        <v>214.39999999999998</v>
      </c>
      <c r="L9" s="116">
        <f t="shared" si="1"/>
        <v>856.2</v>
      </c>
      <c r="M9" s="16">
        <v>215.2</v>
      </c>
      <c r="N9" s="17">
        <v>221.4</v>
      </c>
      <c r="O9" s="17">
        <v>225.3</v>
      </c>
      <c r="P9" s="18">
        <v>241.4</v>
      </c>
      <c r="Q9" s="116">
        <f t="shared" si="2"/>
        <v>903.30000000000007</v>
      </c>
    </row>
    <row r="10" spans="1:18" s="7" customFormat="1" ht="11.25" x14ac:dyDescent="0.2">
      <c r="A10" s="7" t="s">
        <v>30</v>
      </c>
      <c r="C10" s="19">
        <v>160.20000000000002</v>
      </c>
      <c r="D10" s="20">
        <v>171.2</v>
      </c>
      <c r="E10" s="20">
        <v>170</v>
      </c>
      <c r="F10" s="21">
        <v>166.3</v>
      </c>
      <c r="G10" s="117">
        <f>SUM(C10:F10)</f>
        <v>667.7</v>
      </c>
      <c r="H10" s="19">
        <v>170.1</v>
      </c>
      <c r="I10" s="20">
        <v>184.4</v>
      </c>
      <c r="J10" s="20">
        <v>174.8</v>
      </c>
      <c r="K10" s="21">
        <v>189.00000000000003</v>
      </c>
      <c r="L10" s="117">
        <f>SUM(H10:K10)</f>
        <v>718.3</v>
      </c>
      <c r="M10" s="19">
        <v>193.60000000000002</v>
      </c>
      <c r="N10" s="20">
        <v>217.49999999999997</v>
      </c>
      <c r="O10" s="20">
        <v>201.7</v>
      </c>
      <c r="P10" s="21">
        <v>200</v>
      </c>
      <c r="Q10" s="117">
        <f>SUM(M10:P10)</f>
        <v>812.8</v>
      </c>
    </row>
    <row r="11" spans="1:18" s="7" customFormat="1" ht="11.25" x14ac:dyDescent="0.2">
      <c r="A11" s="22" t="s">
        <v>31</v>
      </c>
      <c r="C11" s="23">
        <f t="shared" ref="C11:P11" si="3">SUM(C7:C10)</f>
        <v>875.5</v>
      </c>
      <c r="D11" s="24">
        <f t="shared" si="3"/>
        <v>867.3</v>
      </c>
      <c r="E11" s="24">
        <f t="shared" si="3"/>
        <v>862.9</v>
      </c>
      <c r="F11" s="25">
        <f t="shared" si="3"/>
        <v>808.8</v>
      </c>
      <c r="G11" s="138">
        <f>SUM(G7:G10)</f>
        <v>3414.5</v>
      </c>
      <c r="H11" s="26">
        <f t="shared" si="3"/>
        <v>860.80000000000007</v>
      </c>
      <c r="I11" s="27">
        <f t="shared" si="3"/>
        <v>879.6</v>
      </c>
      <c r="J11" s="27">
        <f t="shared" si="3"/>
        <v>877.59999999999991</v>
      </c>
      <c r="K11" s="28">
        <f t="shared" si="3"/>
        <v>859.19999999999993</v>
      </c>
      <c r="L11" s="138">
        <f>SUM(L7:L10)</f>
        <v>3477.2</v>
      </c>
      <c r="M11" s="26">
        <f t="shared" si="3"/>
        <v>875.50000000000011</v>
      </c>
      <c r="N11" s="27">
        <f t="shared" si="3"/>
        <v>956.09999999999991</v>
      </c>
      <c r="O11" s="27">
        <f t="shared" si="3"/>
        <v>997.40000000000009</v>
      </c>
      <c r="P11" s="28">
        <f t="shared" si="3"/>
        <v>953.3</v>
      </c>
      <c r="Q11" s="138">
        <f>SUM(Q7:Q10)</f>
        <v>3782.3</v>
      </c>
    </row>
    <row r="12" spans="1:18" s="7" customFormat="1" ht="9.9499999999999993" customHeight="1" x14ac:dyDescent="0.2">
      <c r="A12" s="22"/>
      <c r="C12" s="29"/>
      <c r="D12" s="30"/>
      <c r="E12" s="30"/>
      <c r="F12" s="31"/>
      <c r="G12" s="115"/>
      <c r="H12" s="29"/>
      <c r="I12" s="30"/>
      <c r="J12" s="30"/>
      <c r="K12" s="31"/>
      <c r="L12" s="115"/>
      <c r="M12" s="29"/>
      <c r="N12" s="30"/>
      <c r="O12" s="30"/>
      <c r="P12" s="31"/>
      <c r="Q12" s="115"/>
    </row>
    <row r="13" spans="1:18" s="7" customFormat="1" ht="11.25" x14ac:dyDescent="0.2">
      <c r="A13" s="22" t="s">
        <v>65</v>
      </c>
      <c r="C13" s="29"/>
      <c r="D13" s="30"/>
      <c r="E13" s="30"/>
      <c r="F13" s="31"/>
      <c r="G13" s="115"/>
      <c r="H13" s="29"/>
      <c r="I13" s="30"/>
      <c r="J13" s="30"/>
      <c r="K13" s="31"/>
      <c r="L13" s="115"/>
      <c r="M13" s="29"/>
      <c r="N13" s="30"/>
      <c r="O13" s="30"/>
      <c r="P13" s="31"/>
      <c r="Q13" s="115"/>
    </row>
    <row r="14" spans="1:18" s="7" customFormat="1" ht="11.25" x14ac:dyDescent="0.2">
      <c r="A14" s="7" t="s">
        <v>33</v>
      </c>
      <c r="C14" s="32">
        <v>7.0999999999999994E-2</v>
      </c>
      <c r="D14" s="33">
        <v>-6.0000000000000001E-3</v>
      </c>
      <c r="E14" s="33">
        <v>-4.0000000000000001E-3</v>
      </c>
      <c r="F14" s="34">
        <v>-1.4E-2</v>
      </c>
      <c r="G14" s="119">
        <v>1.0999999999999999E-2</v>
      </c>
      <c r="H14" s="32">
        <v>-2.3E-2</v>
      </c>
      <c r="I14" s="33">
        <v>8.0000000000000002E-3</v>
      </c>
      <c r="J14" s="33">
        <v>2E-3</v>
      </c>
      <c r="K14" s="34">
        <v>3.9E-2</v>
      </c>
      <c r="L14" s="119">
        <v>6.0000000000000001E-3</v>
      </c>
      <c r="M14" s="32">
        <v>-1E-3</v>
      </c>
      <c r="N14" s="33">
        <v>6.9000000000000006E-2</v>
      </c>
      <c r="O14" s="33">
        <v>8.5999999999999993E-2</v>
      </c>
      <c r="P14" s="34">
        <v>6.2E-2</v>
      </c>
      <c r="Q14" s="119">
        <v>5.3999999999999999E-2</v>
      </c>
    </row>
    <row r="15" spans="1:18" s="7" customFormat="1" ht="11.25" x14ac:dyDescent="0.2">
      <c r="A15" s="7" t="s">
        <v>66</v>
      </c>
      <c r="C15" s="32">
        <v>0.02</v>
      </c>
      <c r="D15" s="33">
        <v>2.4E-2</v>
      </c>
      <c r="E15" s="33">
        <v>2.3E-2</v>
      </c>
      <c r="F15" s="34">
        <v>2.3E-2</v>
      </c>
      <c r="G15" s="119">
        <v>2.3E-2</v>
      </c>
      <c r="H15" s="32">
        <v>6.0000000000000001E-3</v>
      </c>
      <c r="I15" s="33">
        <v>6.0000000000000001E-3</v>
      </c>
      <c r="J15" s="33">
        <v>1.4999999999999999E-2</v>
      </c>
      <c r="K15" s="34">
        <v>2.3E-2</v>
      </c>
      <c r="L15" s="119">
        <v>1.2E-2</v>
      </c>
      <c r="M15" s="32">
        <v>1.8077137546468225E-2</v>
      </c>
      <c r="N15" s="33">
        <v>1.797135061391536E-2</v>
      </c>
      <c r="O15" s="33">
        <v>5.0999999999999997E-2</v>
      </c>
      <c r="P15" s="34">
        <v>4.7520484171322208E-2</v>
      </c>
      <c r="Q15" s="119">
        <v>3.4000000000000002E-2</v>
      </c>
      <c r="R15" s="128"/>
    </row>
    <row r="16" spans="1:18" s="7" customFormat="1" ht="11.25" x14ac:dyDescent="0.2">
      <c r="A16" s="7" t="s">
        <v>67</v>
      </c>
      <c r="C16" s="32">
        <v>0</v>
      </c>
      <c r="D16" s="33">
        <v>0</v>
      </c>
      <c r="E16" s="33">
        <v>0</v>
      </c>
      <c r="F16" s="34">
        <v>0</v>
      </c>
      <c r="G16" s="119">
        <v>0</v>
      </c>
      <c r="H16" s="32">
        <v>0</v>
      </c>
      <c r="I16" s="33">
        <v>0</v>
      </c>
      <c r="J16" s="33">
        <v>0</v>
      </c>
      <c r="K16" s="34">
        <v>0</v>
      </c>
      <c r="L16" s="119">
        <v>0</v>
      </c>
      <c r="M16" s="32">
        <v>0</v>
      </c>
      <c r="N16" s="33">
        <v>0</v>
      </c>
      <c r="O16" s="33">
        <v>0</v>
      </c>
      <c r="P16" s="34">
        <v>0</v>
      </c>
      <c r="Q16" s="119">
        <v>0</v>
      </c>
      <c r="R16" s="129"/>
    </row>
    <row r="17" spans="1:18" s="7" customFormat="1" ht="11.25" x14ac:dyDescent="0.2">
      <c r="A17" s="22" t="s">
        <v>31</v>
      </c>
      <c r="C17" s="32">
        <f>SUM(C14:C16)</f>
        <v>9.0999999999999998E-2</v>
      </c>
      <c r="D17" s="33">
        <f t="shared" ref="D17:F17" si="4">SUM(D14:D16)</f>
        <v>1.8000000000000002E-2</v>
      </c>
      <c r="E17" s="33">
        <f t="shared" si="4"/>
        <v>1.9E-2</v>
      </c>
      <c r="F17" s="34">
        <f t="shared" si="4"/>
        <v>8.9999999999999993E-3</v>
      </c>
      <c r="G17" s="119">
        <f>SUM(G14:G16)</f>
        <v>3.4000000000000002E-2</v>
      </c>
      <c r="H17" s="32">
        <f t="shared" ref="H17:P17" si="5">SUM(H14:H16)</f>
        <v>-1.7000000000000001E-2</v>
      </c>
      <c r="I17" s="33">
        <f t="shared" si="5"/>
        <v>1.4E-2</v>
      </c>
      <c r="J17" s="33">
        <f t="shared" si="5"/>
        <v>1.7000000000000001E-2</v>
      </c>
      <c r="K17" s="34">
        <f t="shared" si="5"/>
        <v>6.2E-2</v>
      </c>
      <c r="L17" s="119">
        <f>SUM(L14:L16)</f>
        <v>1.8000000000000002E-2</v>
      </c>
      <c r="M17" s="32">
        <f t="shared" si="5"/>
        <v>1.7077137546468224E-2</v>
      </c>
      <c r="N17" s="33">
        <f t="shared" si="5"/>
        <v>8.6971350613915366E-2</v>
      </c>
      <c r="O17" s="33">
        <f t="shared" si="5"/>
        <v>0.13699999999999998</v>
      </c>
      <c r="P17" s="34">
        <f t="shared" si="5"/>
        <v>0.10952048417132221</v>
      </c>
      <c r="Q17" s="119">
        <f>SUM(Q14:Q16)</f>
        <v>8.7999999999999995E-2</v>
      </c>
    </row>
    <row r="18" spans="1:18" s="7" customFormat="1" ht="9.9499999999999993" customHeight="1" thickBot="1" x14ac:dyDescent="0.25">
      <c r="A18" s="22"/>
      <c r="C18" s="29"/>
      <c r="D18" s="30"/>
      <c r="E18" s="30"/>
      <c r="F18" s="31"/>
      <c r="G18" s="115"/>
      <c r="H18" s="32"/>
      <c r="I18" s="33"/>
      <c r="J18" s="33"/>
      <c r="K18" s="34"/>
      <c r="L18" s="115"/>
      <c r="M18" s="32"/>
      <c r="N18" s="33"/>
      <c r="O18" s="33"/>
      <c r="P18" s="34"/>
      <c r="Q18" s="115"/>
    </row>
    <row r="19" spans="1:18" s="7" customFormat="1" ht="12" thickBot="1" x14ac:dyDescent="0.25">
      <c r="A19" s="13" t="s">
        <v>68</v>
      </c>
      <c r="C19" s="14"/>
      <c r="F19" s="15"/>
      <c r="G19" s="115"/>
      <c r="H19" s="14"/>
      <c r="K19" s="15"/>
      <c r="L19" s="115"/>
      <c r="M19" s="14"/>
      <c r="P19" s="15"/>
      <c r="Q19" s="115"/>
      <c r="R19" s="128"/>
    </row>
    <row r="20" spans="1:18" s="7" customFormat="1" ht="11.25" x14ac:dyDescent="0.2">
      <c r="A20" s="7" t="s">
        <v>62</v>
      </c>
      <c r="C20" s="16">
        <v>344.6</v>
      </c>
      <c r="D20" s="17">
        <v>333.8</v>
      </c>
      <c r="E20" s="17">
        <v>345.8</v>
      </c>
      <c r="F20" s="18">
        <v>319.39999999999998</v>
      </c>
      <c r="G20" s="116">
        <f>SUM(C20:F20)</f>
        <v>1343.6</v>
      </c>
      <c r="H20" s="16">
        <v>338</v>
      </c>
      <c r="I20" s="17">
        <v>349.20000000000005</v>
      </c>
      <c r="J20" s="17">
        <v>363.09999999999991</v>
      </c>
      <c r="K20" s="18">
        <v>343.90000000000009</v>
      </c>
      <c r="L20" s="116">
        <f>SUM(H20:K20)</f>
        <v>1394.2</v>
      </c>
      <c r="M20" s="16">
        <v>346.9</v>
      </c>
      <c r="N20" s="17">
        <v>387.20000000000005</v>
      </c>
      <c r="O20" s="17">
        <v>452.30000000000007</v>
      </c>
      <c r="P20" s="18">
        <v>409</v>
      </c>
      <c r="Q20" s="116">
        <f>SUM(M20:P20)</f>
        <v>1595.4</v>
      </c>
      <c r="R20" s="128"/>
    </row>
    <row r="21" spans="1:18" s="7" customFormat="1" ht="11.25" x14ac:dyDescent="0.2">
      <c r="A21" s="7" t="s">
        <v>63</v>
      </c>
      <c r="C21" s="16">
        <v>223.6</v>
      </c>
      <c r="D21" s="17">
        <v>218.8</v>
      </c>
      <c r="E21" s="17">
        <v>200.8</v>
      </c>
      <c r="F21" s="18">
        <v>174.6</v>
      </c>
      <c r="G21" s="116">
        <f t="shared" ref="G21:G22" si="6">SUM(C21:F21)</f>
        <v>817.80000000000007</v>
      </c>
      <c r="H21" s="16">
        <v>209.4</v>
      </c>
      <c r="I21" s="17">
        <v>203.99999999999997</v>
      </c>
      <c r="J21" s="17">
        <v>195.30000000000007</v>
      </c>
      <c r="K21" s="18">
        <v>181.09999999999991</v>
      </c>
      <c r="L21" s="116">
        <f t="shared" ref="L21:L22" si="7">SUM(H21:K21)</f>
        <v>789.8</v>
      </c>
      <c r="M21" s="16">
        <v>196.3</v>
      </c>
      <c r="N21" s="17">
        <v>207.5</v>
      </c>
      <c r="O21" s="17">
        <v>212.8</v>
      </c>
      <c r="P21" s="18">
        <v>196.69999999999993</v>
      </c>
      <c r="Q21" s="116">
        <f t="shared" ref="Q21:Q22" si="8">SUM(M21:P21)</f>
        <v>813.3</v>
      </c>
    </row>
    <row r="22" spans="1:18" s="7" customFormat="1" ht="11.25" x14ac:dyDescent="0.2">
      <c r="A22" s="7" t="s">
        <v>64</v>
      </c>
      <c r="C22" s="16">
        <v>230</v>
      </c>
      <c r="D22" s="17">
        <v>221.8</v>
      </c>
      <c r="E22" s="17">
        <v>217</v>
      </c>
      <c r="F22" s="18">
        <v>214.7</v>
      </c>
      <c r="G22" s="116">
        <f t="shared" si="6"/>
        <v>883.5</v>
      </c>
      <c r="H22" s="16">
        <v>219.5</v>
      </c>
      <c r="I22" s="17">
        <v>217.2</v>
      </c>
      <c r="J22" s="17">
        <v>219.2</v>
      </c>
      <c r="K22" s="18">
        <v>219.20000000000005</v>
      </c>
      <c r="L22" s="116">
        <f t="shared" si="7"/>
        <v>875.1</v>
      </c>
      <c r="M22" s="16">
        <v>221.6</v>
      </c>
      <c r="N22" s="17">
        <v>234.00000000000003</v>
      </c>
      <c r="O22" s="17">
        <v>239.60000000000002</v>
      </c>
      <c r="P22" s="18">
        <v>257.39999999999998</v>
      </c>
      <c r="Q22" s="116">
        <f t="shared" si="8"/>
        <v>952.6</v>
      </c>
    </row>
    <row r="23" spans="1:18" s="7" customFormat="1" ht="11.25" x14ac:dyDescent="0.2">
      <c r="A23" s="7" t="s">
        <v>30</v>
      </c>
      <c r="C23" s="19">
        <v>161.1</v>
      </c>
      <c r="D23" s="20">
        <v>172</v>
      </c>
      <c r="E23" s="20">
        <v>170.7</v>
      </c>
      <c r="F23" s="21">
        <v>166.9</v>
      </c>
      <c r="G23" s="117">
        <f>SUM(C23:F23)</f>
        <v>670.7</v>
      </c>
      <c r="H23" s="19">
        <v>170.8</v>
      </c>
      <c r="I23" s="20">
        <v>185.09999999999997</v>
      </c>
      <c r="J23" s="20">
        <v>175.60000000000002</v>
      </c>
      <c r="K23" s="21">
        <v>189.5</v>
      </c>
      <c r="L23" s="117">
        <f>SUM(H23:K23)</f>
        <v>721</v>
      </c>
      <c r="M23" s="19">
        <v>194.2</v>
      </c>
      <c r="N23" s="20">
        <v>218.3</v>
      </c>
      <c r="O23" s="20">
        <v>203.60000000000002</v>
      </c>
      <c r="P23" s="21">
        <v>200.89999999999998</v>
      </c>
      <c r="Q23" s="117">
        <f>SUM(M23:P23)</f>
        <v>817</v>
      </c>
    </row>
    <row r="24" spans="1:18" s="7" customFormat="1" ht="11.25" x14ac:dyDescent="0.2">
      <c r="A24" s="22" t="s">
        <v>31</v>
      </c>
      <c r="C24" s="23">
        <f t="shared" ref="C24:P24" si="9">SUM(C20:C23)</f>
        <v>959.30000000000007</v>
      </c>
      <c r="D24" s="24">
        <f t="shared" si="9"/>
        <v>946.40000000000009</v>
      </c>
      <c r="E24" s="24">
        <f t="shared" si="9"/>
        <v>934.3</v>
      </c>
      <c r="F24" s="25">
        <f t="shared" si="9"/>
        <v>875.6</v>
      </c>
      <c r="G24" s="138">
        <f>SUM(G20:G23)</f>
        <v>3715.6000000000004</v>
      </c>
      <c r="H24" s="26">
        <f t="shared" si="9"/>
        <v>937.7</v>
      </c>
      <c r="I24" s="27">
        <f t="shared" si="9"/>
        <v>955.5</v>
      </c>
      <c r="J24" s="27">
        <f t="shared" si="9"/>
        <v>953.19999999999993</v>
      </c>
      <c r="K24" s="28">
        <f t="shared" si="9"/>
        <v>933.7</v>
      </c>
      <c r="L24" s="138">
        <f>SUM(L20:L23)</f>
        <v>3780.1</v>
      </c>
      <c r="M24" s="26">
        <f t="shared" si="9"/>
        <v>959</v>
      </c>
      <c r="N24" s="27">
        <f t="shared" si="9"/>
        <v>1047</v>
      </c>
      <c r="O24" s="27">
        <f t="shared" si="9"/>
        <v>1108.3000000000002</v>
      </c>
      <c r="P24" s="28">
        <f t="shared" si="9"/>
        <v>1064</v>
      </c>
      <c r="Q24" s="138">
        <f>SUM(Q20:Q23)</f>
        <v>4178.2999999999993</v>
      </c>
    </row>
    <row r="25" spans="1:18" s="7" customFormat="1" ht="9.9499999999999993" customHeight="1" x14ac:dyDescent="0.2">
      <c r="C25" s="36"/>
      <c r="D25" s="37"/>
      <c r="E25" s="38"/>
      <c r="F25" s="39"/>
      <c r="G25" s="115"/>
      <c r="H25" s="36"/>
      <c r="I25" s="37"/>
      <c r="J25" s="38"/>
      <c r="K25" s="39"/>
      <c r="L25" s="115"/>
      <c r="M25" s="36"/>
      <c r="N25" s="37"/>
      <c r="O25" s="38"/>
      <c r="P25" s="39"/>
      <c r="Q25" s="115"/>
    </row>
    <row r="26" spans="1:18" s="7" customFormat="1" ht="11.25" x14ac:dyDescent="0.2">
      <c r="A26" s="22" t="s">
        <v>69</v>
      </c>
      <c r="C26" s="14"/>
      <c r="F26" s="15"/>
      <c r="G26" s="115"/>
      <c r="H26" s="14"/>
      <c r="K26" s="15"/>
      <c r="L26" s="115"/>
      <c r="M26" s="14"/>
      <c r="P26" s="15"/>
      <c r="Q26" s="115"/>
    </row>
    <row r="27" spans="1:18" s="7" customFormat="1" ht="11.25" x14ac:dyDescent="0.2">
      <c r="A27" s="7" t="s">
        <v>62</v>
      </c>
      <c r="C27" s="32">
        <v>5.0999999999999997E-2</v>
      </c>
      <c r="D27" s="33">
        <v>-3.3000000000000002E-2</v>
      </c>
      <c r="E27" s="33">
        <v>-3.0000000000000001E-3</v>
      </c>
      <c r="F27" s="34">
        <v>1.4E-2</v>
      </c>
      <c r="G27" s="120">
        <v>7.0000000000000001E-3</v>
      </c>
      <c r="H27" s="32">
        <v>-2.1000000000000001E-2</v>
      </c>
      <c r="I27" s="33">
        <v>4.3999999999999997E-2</v>
      </c>
      <c r="J27" s="33">
        <v>4.8000000000000001E-2</v>
      </c>
      <c r="K27" s="34">
        <v>7.1999999999999995E-2</v>
      </c>
      <c r="L27" s="120">
        <v>3.5000000000000003E-2</v>
      </c>
      <c r="M27" s="32">
        <v>2.4E-2</v>
      </c>
      <c r="N27" s="33">
        <v>0.10199999999999999</v>
      </c>
      <c r="O27" s="33">
        <v>0.13700000000000001</v>
      </c>
      <c r="P27" s="34">
        <v>7.9000000000000001E-2</v>
      </c>
      <c r="Q27" s="120">
        <v>8.6999999999999994E-2</v>
      </c>
    </row>
    <row r="28" spans="1:18" s="7" customFormat="1" ht="11.25" x14ac:dyDescent="0.2">
      <c r="A28" s="7" t="s">
        <v>63</v>
      </c>
      <c r="C28" s="32">
        <v>6.2E-2</v>
      </c>
      <c r="D28" s="33">
        <v>-5.0999999999999997E-2</v>
      </c>
      <c r="E28" s="33">
        <v>-8.3000000000000004E-2</v>
      </c>
      <c r="F28" s="34">
        <v>-0.14099999999999999</v>
      </c>
      <c r="G28" s="120">
        <v>-5.2999999999999999E-2</v>
      </c>
      <c r="H28" s="32">
        <v>-8.5000000000000006E-2</v>
      </c>
      <c r="I28" s="33">
        <v>-8.5999999999999993E-2</v>
      </c>
      <c r="J28" s="33">
        <v>-5.1999999999999998E-2</v>
      </c>
      <c r="K28" s="34">
        <v>1.7999999999999999E-2</v>
      </c>
      <c r="L28" s="120">
        <v>-5.5E-2</v>
      </c>
      <c r="M28" s="32">
        <v>-6.2E-2</v>
      </c>
      <c r="N28" s="33">
        <v>1.7000000000000001E-2</v>
      </c>
      <c r="O28" s="33">
        <v>8.8999999999999996E-2</v>
      </c>
      <c r="P28" s="34">
        <v>8.5999999999999993E-2</v>
      </c>
      <c r="Q28" s="120">
        <v>0.03</v>
      </c>
    </row>
    <row r="29" spans="1:18" s="7" customFormat="1" ht="11.25" x14ac:dyDescent="0.2">
      <c r="A29" s="7" t="s">
        <v>64</v>
      </c>
      <c r="C29" s="32">
        <v>9.4E-2</v>
      </c>
      <c r="D29" s="33">
        <v>3.5999999999999997E-2</v>
      </c>
      <c r="E29" s="33">
        <v>2.4E-2</v>
      </c>
      <c r="F29" s="34">
        <v>3.2000000000000001E-2</v>
      </c>
      <c r="G29" s="120">
        <v>4.5999999999999999E-2</v>
      </c>
      <c r="H29" s="32">
        <v>-4.4999999999999998E-2</v>
      </c>
      <c r="I29" s="33">
        <v>-2.1000000000000001E-2</v>
      </c>
      <c r="J29" s="33">
        <v>0.01</v>
      </c>
      <c r="K29" s="34">
        <v>2.1000000000000001E-2</v>
      </c>
      <c r="L29" s="120">
        <v>0.01</v>
      </c>
      <c r="M29" s="32">
        <v>8.9999999999999993E-3</v>
      </c>
      <c r="N29" s="33">
        <v>7.8E-2</v>
      </c>
      <c r="O29" s="33">
        <v>9.2999999999999999E-2</v>
      </c>
      <c r="P29" s="34">
        <v>0.16</v>
      </c>
      <c r="Q29" s="120">
        <v>8.5000000000000006E-2</v>
      </c>
    </row>
    <row r="30" spans="1:18" s="7" customFormat="1" ht="11.25" x14ac:dyDescent="0.2">
      <c r="A30" s="7" t="s">
        <v>30</v>
      </c>
      <c r="C30" s="32">
        <v>9.0999999999999998E-2</v>
      </c>
      <c r="D30" s="33">
        <v>0.09</v>
      </c>
      <c r="E30" s="33">
        <v>0.06</v>
      </c>
      <c r="F30" s="34">
        <v>0.04</v>
      </c>
      <c r="G30" s="120">
        <v>7.0000000000000007E-2</v>
      </c>
      <c r="H30" s="32">
        <v>0.06</v>
      </c>
      <c r="I30" s="33">
        <v>7.1999999999999995E-2</v>
      </c>
      <c r="J30" s="33">
        <v>-1.6E-2</v>
      </c>
      <c r="K30" s="34">
        <v>5.0999999999999997E-2</v>
      </c>
      <c r="L30" s="120">
        <v>4.1000000000000002E-2</v>
      </c>
      <c r="M30" s="32">
        <v>0.05</v>
      </c>
      <c r="N30" s="33">
        <v>0.108</v>
      </c>
      <c r="O30" s="33">
        <v>0.13600000000000001</v>
      </c>
      <c r="P30" s="34">
        <v>0.06</v>
      </c>
      <c r="Q30" s="120">
        <v>8.7999999999999995E-2</v>
      </c>
    </row>
    <row r="31" spans="1:18" s="7" customFormat="1" ht="9.9499999999999993" customHeight="1" thickBot="1" x14ac:dyDescent="0.25">
      <c r="C31" s="14"/>
      <c r="F31" s="15"/>
      <c r="G31" s="115"/>
      <c r="H31" s="14"/>
      <c r="K31" s="15"/>
      <c r="L31" s="115"/>
      <c r="M31" s="14"/>
      <c r="P31" s="15"/>
      <c r="Q31" s="115"/>
    </row>
    <row r="32" spans="1:18" s="7" customFormat="1" ht="12" thickBot="1" x14ac:dyDescent="0.25">
      <c r="A32" s="13" t="s">
        <v>70</v>
      </c>
      <c r="C32" s="14"/>
      <c r="F32" s="15"/>
      <c r="G32" s="115"/>
      <c r="H32" s="14"/>
      <c r="K32" s="15"/>
      <c r="L32" s="115"/>
      <c r="M32" s="14"/>
      <c r="P32" s="15"/>
      <c r="Q32" s="115"/>
    </row>
    <row r="33" spans="1:17" s="7" customFormat="1" ht="11.25" x14ac:dyDescent="0.2">
      <c r="A33" s="7" t="s">
        <v>62</v>
      </c>
      <c r="C33" s="40">
        <v>24.5</v>
      </c>
      <c r="D33" s="41">
        <v>27.699999999999996</v>
      </c>
      <c r="E33" s="41">
        <v>26.2</v>
      </c>
      <c r="F33" s="42">
        <v>23.299999999999994</v>
      </c>
      <c r="G33" s="121">
        <f>SUM(C33:F33)</f>
        <v>101.69999999999999</v>
      </c>
      <c r="H33" s="40">
        <v>19.700000000000006</v>
      </c>
      <c r="I33" s="41">
        <v>26.399999999999995</v>
      </c>
      <c r="J33" s="41">
        <v>29</v>
      </c>
      <c r="K33" s="42">
        <v>26.500000000000004</v>
      </c>
      <c r="L33" s="121">
        <f>SUM(H33:K33)</f>
        <v>101.6</v>
      </c>
      <c r="M33" s="40">
        <v>33.9</v>
      </c>
      <c r="N33" s="41">
        <v>36.9</v>
      </c>
      <c r="O33" s="41">
        <v>11.199999999999994</v>
      </c>
      <c r="P33" s="42">
        <v>6.3999999999999986</v>
      </c>
      <c r="Q33" s="121">
        <f>SUM(M33:P33)</f>
        <v>88.399999999999977</v>
      </c>
    </row>
    <row r="34" spans="1:17" s="7" customFormat="1" ht="11.25" x14ac:dyDescent="0.2">
      <c r="A34" s="7" t="s">
        <v>63</v>
      </c>
      <c r="C34" s="40">
        <v>11.7</v>
      </c>
      <c r="D34" s="41">
        <v>15.3</v>
      </c>
      <c r="E34" s="41">
        <v>21.9</v>
      </c>
      <c r="F34" s="42">
        <v>18.799999999999997</v>
      </c>
      <c r="G34" s="121">
        <f t="shared" ref="G34:G36" si="10">SUM(C34:F34)</f>
        <v>67.699999999999989</v>
      </c>
      <c r="H34" s="40">
        <v>19.399999999999995</v>
      </c>
      <c r="I34" s="41">
        <v>18.3</v>
      </c>
      <c r="J34" s="41">
        <v>17.900000000000002</v>
      </c>
      <c r="K34" s="42">
        <v>-1.9999999999999989</v>
      </c>
      <c r="L34" s="121">
        <f t="shared" ref="L34:L36" si="11">SUM(H34:K34)</f>
        <v>53.599999999999994</v>
      </c>
      <c r="M34" s="40">
        <v>7.4000000000000021</v>
      </c>
      <c r="N34" s="41">
        <v>9.1</v>
      </c>
      <c r="O34" s="41">
        <v>14.700000000000001</v>
      </c>
      <c r="P34" s="42">
        <v>12.799999999999999</v>
      </c>
      <c r="Q34" s="121">
        <f t="shared" ref="Q34:Q36" si="12">SUM(M34:P34)</f>
        <v>44</v>
      </c>
    </row>
    <row r="35" spans="1:17" s="7" customFormat="1" ht="11.25" x14ac:dyDescent="0.2">
      <c r="A35" s="7" t="s">
        <v>64</v>
      </c>
      <c r="C35" s="40">
        <v>21.800000000000004</v>
      </c>
      <c r="D35" s="41">
        <v>20.299999999999997</v>
      </c>
      <c r="E35" s="41">
        <v>17.700000000000003</v>
      </c>
      <c r="F35" s="42">
        <v>18.900000000000002</v>
      </c>
      <c r="G35" s="121">
        <f t="shared" si="10"/>
        <v>78.7</v>
      </c>
      <c r="H35" s="40">
        <v>19.3</v>
      </c>
      <c r="I35" s="41">
        <v>17.8</v>
      </c>
      <c r="J35" s="41">
        <v>21.099999999999998</v>
      </c>
      <c r="K35" s="42">
        <v>19.7</v>
      </c>
      <c r="L35" s="121">
        <f t="shared" si="11"/>
        <v>77.900000000000006</v>
      </c>
      <c r="M35" s="40">
        <v>19.600000000000001</v>
      </c>
      <c r="N35" s="41">
        <v>22.4</v>
      </c>
      <c r="O35" s="41">
        <v>21.2</v>
      </c>
      <c r="P35" s="42">
        <v>18.799999999999997</v>
      </c>
      <c r="Q35" s="121">
        <f t="shared" si="12"/>
        <v>82</v>
      </c>
    </row>
    <row r="36" spans="1:17" s="7" customFormat="1" ht="11.25" x14ac:dyDescent="0.2">
      <c r="A36" s="7" t="s">
        <v>30</v>
      </c>
      <c r="C36" s="40">
        <v>14.599999999999998</v>
      </c>
      <c r="D36" s="41">
        <v>23.1</v>
      </c>
      <c r="E36" s="41">
        <v>21.700000000000003</v>
      </c>
      <c r="F36" s="42">
        <v>17.5</v>
      </c>
      <c r="G36" s="121">
        <f t="shared" si="10"/>
        <v>76.900000000000006</v>
      </c>
      <c r="H36" s="40">
        <v>22.299999999999997</v>
      </c>
      <c r="I36" s="41">
        <v>28.500000000000007</v>
      </c>
      <c r="J36" s="41">
        <v>21.000000000000004</v>
      </c>
      <c r="K36" s="42">
        <v>-40.5</v>
      </c>
      <c r="L36" s="121">
        <f t="shared" si="11"/>
        <v>31.300000000000011</v>
      </c>
      <c r="M36" s="40">
        <v>26.6</v>
      </c>
      <c r="N36" s="41">
        <v>34.1</v>
      </c>
      <c r="O36" s="41">
        <v>29.099999999999998</v>
      </c>
      <c r="P36" s="42">
        <v>29.700000000000003</v>
      </c>
      <c r="Q36" s="121">
        <f t="shared" si="12"/>
        <v>119.5</v>
      </c>
    </row>
    <row r="37" spans="1:17" s="7" customFormat="1" ht="11.25" x14ac:dyDescent="0.2">
      <c r="A37" s="7" t="s">
        <v>71</v>
      </c>
      <c r="C37" s="19">
        <v>-0.8</v>
      </c>
      <c r="D37" s="20">
        <v>-0.50000000000000022</v>
      </c>
      <c r="E37" s="20">
        <v>0.10000000000000037</v>
      </c>
      <c r="F37" s="21">
        <v>0.59999999999999987</v>
      </c>
      <c r="G37" s="117">
        <f>SUM(C37:F37)</f>
        <v>-0.60000000000000009</v>
      </c>
      <c r="H37" s="19">
        <v>-2.2000000000000002</v>
      </c>
      <c r="I37" s="20">
        <v>0.50000000000000044</v>
      </c>
      <c r="J37" s="20">
        <v>10.399999999999999</v>
      </c>
      <c r="K37" s="21">
        <v>1.5</v>
      </c>
      <c r="L37" s="117">
        <f>SUM(H37:K37)</f>
        <v>10.199999999999999</v>
      </c>
      <c r="M37" s="19">
        <v>-1.7000000000000002</v>
      </c>
      <c r="N37" s="20">
        <v>-0.30000000000000016</v>
      </c>
      <c r="O37" s="20">
        <v>-0.79999999999999916</v>
      </c>
      <c r="P37" s="21">
        <v>0.40000000000000019</v>
      </c>
      <c r="Q37" s="117">
        <f>SUM(M37:P37)</f>
        <v>-2.3999999999999995</v>
      </c>
    </row>
    <row r="38" spans="1:17" s="7" customFormat="1" ht="11.25" x14ac:dyDescent="0.2">
      <c r="A38" s="22" t="s">
        <v>31</v>
      </c>
      <c r="C38" s="43">
        <f t="shared" ref="C38:P38" si="13">SUM(C32:C37)</f>
        <v>71.800000000000011</v>
      </c>
      <c r="D38" s="44">
        <f t="shared" si="13"/>
        <v>85.9</v>
      </c>
      <c r="E38" s="44">
        <f t="shared" si="13"/>
        <v>87.6</v>
      </c>
      <c r="F38" s="45">
        <f t="shared" si="13"/>
        <v>79.099999999999994</v>
      </c>
      <c r="G38" s="122">
        <f>SUM(G33:G37)</f>
        <v>324.39999999999998</v>
      </c>
      <c r="H38" s="43">
        <f t="shared" si="13"/>
        <v>78.5</v>
      </c>
      <c r="I38" s="44">
        <f t="shared" si="13"/>
        <v>91.5</v>
      </c>
      <c r="J38" s="44">
        <f t="shared" si="13"/>
        <v>99.4</v>
      </c>
      <c r="K38" s="45">
        <f t="shared" si="13"/>
        <v>5.2000000000000028</v>
      </c>
      <c r="L38" s="122">
        <f>SUM(L33:L37)</f>
        <v>274.59999999999997</v>
      </c>
      <c r="M38" s="43">
        <f t="shared" si="13"/>
        <v>85.8</v>
      </c>
      <c r="N38" s="44">
        <f t="shared" si="13"/>
        <v>102.2</v>
      </c>
      <c r="O38" s="44">
        <f t="shared" si="13"/>
        <v>75.399999999999991</v>
      </c>
      <c r="P38" s="45">
        <f t="shared" si="13"/>
        <v>68.099999999999994</v>
      </c>
      <c r="Q38" s="122">
        <f>SUM(Q33:Q37)</f>
        <v>331.5</v>
      </c>
    </row>
    <row r="39" spans="1:17" s="7" customFormat="1" ht="9.9499999999999993" customHeight="1" thickBot="1" x14ac:dyDescent="0.25">
      <c r="C39" s="14"/>
      <c r="F39" s="15"/>
      <c r="G39" s="115"/>
      <c r="H39" s="14"/>
      <c r="K39" s="15"/>
      <c r="L39" s="115"/>
      <c r="M39" s="14"/>
      <c r="P39" s="15"/>
      <c r="Q39" s="115"/>
    </row>
    <row r="40" spans="1:17" s="7" customFormat="1" ht="12" thickBot="1" x14ac:dyDescent="0.25">
      <c r="A40" s="13" t="s">
        <v>72</v>
      </c>
      <c r="C40" s="14"/>
      <c r="F40" s="15"/>
      <c r="G40" s="115"/>
      <c r="H40" s="14"/>
      <c r="K40" s="15"/>
      <c r="L40" s="115"/>
      <c r="M40" s="14"/>
      <c r="P40" s="15"/>
      <c r="Q40" s="115"/>
    </row>
    <row r="41" spans="1:17" s="7" customFormat="1" ht="11.25" x14ac:dyDescent="0.2">
      <c r="A41" s="7" t="s">
        <v>62</v>
      </c>
      <c r="C41" s="46">
        <f t="shared" ref="C41:Q41" si="14">+C33/C20</f>
        <v>7.1096923969820078E-2</v>
      </c>
      <c r="D41" s="35">
        <f t="shared" si="14"/>
        <v>8.2983822648292377E-2</v>
      </c>
      <c r="E41" s="35">
        <f t="shared" si="14"/>
        <v>7.576633892423365E-2</v>
      </c>
      <c r="F41" s="47">
        <f t="shared" si="14"/>
        <v>7.2949279899812133E-2</v>
      </c>
      <c r="G41" s="119">
        <f t="shared" si="14"/>
        <v>7.5692170288776423E-2</v>
      </c>
      <c r="H41" s="46">
        <f t="shared" si="14"/>
        <v>5.8284023668639072E-2</v>
      </c>
      <c r="I41" s="35">
        <f t="shared" si="14"/>
        <v>7.5601374570446717E-2</v>
      </c>
      <c r="J41" s="35">
        <f t="shared" si="14"/>
        <v>7.9867805012393295E-2</v>
      </c>
      <c r="K41" s="47">
        <f t="shared" si="14"/>
        <v>7.7057284094213419E-2</v>
      </c>
      <c r="L41" s="119">
        <f t="shared" si="14"/>
        <v>7.2873332376990382E-2</v>
      </c>
      <c r="M41" s="46">
        <f t="shared" si="14"/>
        <v>9.772268665321418E-2</v>
      </c>
      <c r="N41" s="35">
        <f t="shared" si="14"/>
        <v>9.5299586776859485E-2</v>
      </c>
      <c r="O41" s="35">
        <f t="shared" si="14"/>
        <v>2.4762325889896068E-2</v>
      </c>
      <c r="P41" s="47">
        <f t="shared" si="14"/>
        <v>1.5647921760391193E-2</v>
      </c>
      <c r="Q41" s="119">
        <f t="shared" si="14"/>
        <v>5.5409301742509701E-2</v>
      </c>
    </row>
    <row r="42" spans="1:17" s="7" customFormat="1" ht="11.25" x14ac:dyDescent="0.2">
      <c r="A42" s="7" t="s">
        <v>63</v>
      </c>
      <c r="C42" s="46">
        <f t="shared" ref="C42:Q42" si="15">+C34/C21</f>
        <v>5.2325581395348833E-2</v>
      </c>
      <c r="D42" s="35">
        <f t="shared" si="15"/>
        <v>6.9926873857404023E-2</v>
      </c>
      <c r="E42" s="35">
        <f t="shared" si="15"/>
        <v>0.10906374501992031</v>
      </c>
      <c r="F42" s="47">
        <f t="shared" si="15"/>
        <v>0.10767468499427262</v>
      </c>
      <c r="G42" s="119">
        <f t="shared" si="15"/>
        <v>8.2783076546832951E-2</v>
      </c>
      <c r="H42" s="46">
        <f t="shared" si="15"/>
        <v>9.2645654250238754E-2</v>
      </c>
      <c r="I42" s="35">
        <f t="shared" si="15"/>
        <v>8.9705882352941191E-2</v>
      </c>
      <c r="J42" s="35">
        <f t="shared" si="15"/>
        <v>9.1653865847414209E-2</v>
      </c>
      <c r="K42" s="47">
        <f t="shared" si="15"/>
        <v>-1.1043622308117063E-2</v>
      </c>
      <c r="L42" s="119">
        <f t="shared" si="15"/>
        <v>6.7865282349962017E-2</v>
      </c>
      <c r="M42" s="46">
        <f t="shared" si="15"/>
        <v>3.7697401935812544E-2</v>
      </c>
      <c r="N42" s="35">
        <f t="shared" si="15"/>
        <v>4.3855421686746984E-2</v>
      </c>
      <c r="O42" s="35">
        <f t="shared" si="15"/>
        <v>6.9078947368421059E-2</v>
      </c>
      <c r="P42" s="47">
        <f t="shared" si="15"/>
        <v>6.5073716319267935E-2</v>
      </c>
      <c r="Q42" s="119">
        <f t="shared" si="15"/>
        <v>5.4100577892536583E-2</v>
      </c>
    </row>
    <row r="43" spans="1:17" s="7" customFormat="1" ht="11.25" x14ac:dyDescent="0.2">
      <c r="A43" s="7" t="s">
        <v>64</v>
      </c>
      <c r="C43" s="46">
        <f t="shared" ref="C43:Q43" si="16">+C35/C22</f>
        <v>9.4782608695652193E-2</v>
      </c>
      <c r="D43" s="35">
        <f t="shared" si="16"/>
        <v>9.1523895401262378E-2</v>
      </c>
      <c r="E43" s="35">
        <f t="shared" si="16"/>
        <v>8.1566820276497712E-2</v>
      </c>
      <c r="F43" s="47">
        <f t="shared" si="16"/>
        <v>8.8029809035864007E-2</v>
      </c>
      <c r="G43" s="119">
        <f t="shared" si="16"/>
        <v>8.907753254103E-2</v>
      </c>
      <c r="H43" s="46">
        <f t="shared" si="16"/>
        <v>8.7927107061503418E-2</v>
      </c>
      <c r="I43" s="35">
        <f t="shared" si="16"/>
        <v>8.1952117863720086E-2</v>
      </c>
      <c r="J43" s="35">
        <f t="shared" si="16"/>
        <v>9.6259124087591241E-2</v>
      </c>
      <c r="K43" s="47">
        <f t="shared" si="16"/>
        <v>8.9872262773722608E-2</v>
      </c>
      <c r="L43" s="119">
        <f t="shared" si="16"/>
        <v>8.9018397897383167E-2</v>
      </c>
      <c r="M43" s="46">
        <f t="shared" si="16"/>
        <v>8.8447653429602896E-2</v>
      </c>
      <c r="N43" s="35">
        <f t="shared" si="16"/>
        <v>9.5726495726495706E-2</v>
      </c>
      <c r="O43" s="35">
        <f t="shared" si="16"/>
        <v>8.8480801335559259E-2</v>
      </c>
      <c r="P43" s="47">
        <f t="shared" si="16"/>
        <v>7.303807303807304E-2</v>
      </c>
      <c r="Q43" s="119">
        <f t="shared" si="16"/>
        <v>8.6080201553642655E-2</v>
      </c>
    </row>
    <row r="44" spans="1:17" s="7" customFormat="1" ht="11.25" x14ac:dyDescent="0.2">
      <c r="A44" s="7" t="s">
        <v>30</v>
      </c>
      <c r="C44" s="46">
        <f t="shared" ref="C44:Q44" si="17">+C36/C23</f>
        <v>9.062693978895095E-2</v>
      </c>
      <c r="D44" s="35">
        <f t="shared" si="17"/>
        <v>0.13430232558139535</v>
      </c>
      <c r="E44" s="35">
        <f t="shared" si="17"/>
        <v>0.12712360867018163</v>
      </c>
      <c r="F44" s="47">
        <f t="shared" si="17"/>
        <v>0.1048532055122828</v>
      </c>
      <c r="G44" s="119">
        <f t="shared" si="17"/>
        <v>0.11465632920828984</v>
      </c>
      <c r="H44" s="46">
        <f t="shared" si="17"/>
        <v>0.13056206088992972</v>
      </c>
      <c r="I44" s="35">
        <f t="shared" si="17"/>
        <v>0.15397082658022698</v>
      </c>
      <c r="J44" s="35">
        <f t="shared" si="17"/>
        <v>0.11958997722095673</v>
      </c>
      <c r="K44" s="47">
        <f t="shared" si="17"/>
        <v>-0.21372031662269128</v>
      </c>
      <c r="L44" s="119">
        <f t="shared" si="17"/>
        <v>4.3411927877947308E-2</v>
      </c>
      <c r="M44" s="46">
        <f t="shared" si="17"/>
        <v>0.1369721936148301</v>
      </c>
      <c r="N44" s="35">
        <f t="shared" si="17"/>
        <v>0.15620705451213926</v>
      </c>
      <c r="O44" s="35">
        <f t="shared" si="17"/>
        <v>0.14292730844793711</v>
      </c>
      <c r="P44" s="47">
        <f t="shared" si="17"/>
        <v>0.147834743653559</v>
      </c>
      <c r="Q44" s="119">
        <f t="shared" si="17"/>
        <v>0.14626682986536108</v>
      </c>
    </row>
    <row r="45" spans="1:17" s="7" customFormat="1" ht="11.25" x14ac:dyDescent="0.2">
      <c r="A45" s="22" t="s">
        <v>41</v>
      </c>
      <c r="B45" s="22"/>
      <c r="C45" s="48">
        <f t="shared" ref="C45:P45" si="18">+C38/C11</f>
        <v>8.2010279840091391E-2</v>
      </c>
      <c r="D45" s="49">
        <f t="shared" si="18"/>
        <v>9.904300703332182E-2</v>
      </c>
      <c r="E45" s="49">
        <f t="shared" si="18"/>
        <v>0.10151813651639818</v>
      </c>
      <c r="F45" s="50">
        <f t="shared" si="18"/>
        <v>9.779920870425321E-2</v>
      </c>
      <c r="G45" s="123">
        <f>+G38/G11</f>
        <v>9.5006589544589251E-2</v>
      </c>
      <c r="H45" s="48">
        <f t="shared" si="18"/>
        <v>9.1194237918215612E-2</v>
      </c>
      <c r="I45" s="49">
        <f t="shared" si="18"/>
        <v>0.10402455661664392</v>
      </c>
      <c r="J45" s="49">
        <f t="shared" si="18"/>
        <v>0.11326344576116684</v>
      </c>
      <c r="K45" s="50">
        <f t="shared" si="18"/>
        <v>6.0521415270018662E-3</v>
      </c>
      <c r="L45" s="123">
        <f>+L38/L11</f>
        <v>7.897158633383182E-2</v>
      </c>
      <c r="M45" s="48">
        <f t="shared" si="18"/>
        <v>9.8001142204454578E-2</v>
      </c>
      <c r="N45" s="49">
        <f t="shared" si="18"/>
        <v>0.10689258445769273</v>
      </c>
      <c r="O45" s="49">
        <f t="shared" si="18"/>
        <v>7.5596551032684964E-2</v>
      </c>
      <c r="P45" s="50">
        <f t="shared" si="18"/>
        <v>7.1436064198048876E-2</v>
      </c>
      <c r="Q45" s="123">
        <f>+Q38/Q11</f>
        <v>8.7645083679242786E-2</v>
      </c>
    </row>
    <row r="46" spans="1:17" s="7" customFormat="1" ht="11.25" x14ac:dyDescent="0.2">
      <c r="A46" s="2" t="s">
        <v>42</v>
      </c>
      <c r="B46" s="22"/>
      <c r="C46" s="48"/>
      <c r="D46" s="49"/>
      <c r="E46" s="49"/>
      <c r="F46" s="49"/>
      <c r="G46" s="115"/>
      <c r="H46" s="14"/>
      <c r="K46" s="15"/>
      <c r="L46" s="115"/>
      <c r="M46" s="14"/>
      <c r="P46" s="15"/>
      <c r="Q46" s="115"/>
    </row>
    <row r="47" spans="1:17" s="7" customFormat="1" ht="11.25" x14ac:dyDescent="0.2">
      <c r="A47" s="2" t="s">
        <v>43</v>
      </c>
      <c r="B47" s="22"/>
      <c r="C47" s="127"/>
      <c r="D47" s="51"/>
      <c r="E47" s="51"/>
      <c r="F47" s="51"/>
      <c r="G47" s="115"/>
      <c r="H47" s="14"/>
      <c r="K47" s="15"/>
      <c r="L47" s="115"/>
      <c r="M47" s="14"/>
      <c r="P47" s="15"/>
      <c r="Q47" s="115"/>
    </row>
    <row r="48" spans="1:17" s="7" customFormat="1" ht="9.9499999999999993" customHeight="1" thickBot="1" x14ac:dyDescent="0.25">
      <c r="C48" s="14"/>
      <c r="F48" s="15"/>
      <c r="G48" s="115"/>
      <c r="H48" s="14"/>
      <c r="K48" s="15"/>
      <c r="L48" s="115"/>
      <c r="M48" s="14"/>
      <c r="P48" s="15"/>
      <c r="Q48" s="115"/>
    </row>
    <row r="49" spans="1:17" s="7" customFormat="1" ht="12" thickBot="1" x14ac:dyDescent="0.25">
      <c r="A49" s="13" t="s">
        <v>73</v>
      </c>
      <c r="C49" s="14"/>
      <c r="F49" s="15"/>
      <c r="G49" s="115"/>
      <c r="H49" s="14"/>
      <c r="K49" s="15"/>
      <c r="L49" s="115"/>
      <c r="M49" s="14"/>
      <c r="P49" s="15"/>
      <c r="Q49" s="115"/>
    </row>
    <row r="50" spans="1:17" s="7" customFormat="1" ht="11.25" x14ac:dyDescent="0.2">
      <c r="A50" s="7" t="s">
        <v>62</v>
      </c>
      <c r="C50" s="40"/>
      <c r="D50" s="41"/>
      <c r="E50" s="41"/>
      <c r="F50" s="42"/>
      <c r="G50" s="121"/>
      <c r="H50" s="40"/>
      <c r="I50" s="41"/>
      <c r="J50" s="41"/>
      <c r="K50" s="42"/>
      <c r="L50" s="121"/>
      <c r="M50" s="40"/>
      <c r="N50" s="41"/>
      <c r="O50" s="41"/>
      <c r="P50" s="42"/>
      <c r="Q50" s="121">
        <f>Q33+42.7</f>
        <v>131.09999999999997</v>
      </c>
    </row>
    <row r="51" spans="1:17" s="7" customFormat="1" ht="11.25" x14ac:dyDescent="0.2">
      <c r="A51" s="7" t="s">
        <v>63</v>
      </c>
      <c r="C51" s="40"/>
      <c r="D51" s="41"/>
      <c r="E51" s="41"/>
      <c r="F51" s="42"/>
      <c r="G51" s="121"/>
      <c r="H51" s="40"/>
      <c r="I51" s="41"/>
      <c r="J51" s="41"/>
      <c r="K51" s="42"/>
      <c r="L51" s="121"/>
      <c r="M51" s="40"/>
      <c r="N51" s="41"/>
      <c r="O51" s="41"/>
      <c r="P51" s="42"/>
      <c r="Q51" s="121">
        <f>Q34+13.9</f>
        <v>57.9</v>
      </c>
    </row>
    <row r="52" spans="1:17" s="7" customFormat="1" ht="11.25" x14ac:dyDescent="0.2">
      <c r="A52" s="7" t="s">
        <v>64</v>
      </c>
      <c r="C52" s="40"/>
      <c r="D52" s="41"/>
      <c r="E52" s="41"/>
      <c r="F52" s="42"/>
      <c r="G52" s="121"/>
      <c r="H52" s="40"/>
      <c r="I52" s="41"/>
      <c r="J52" s="41"/>
      <c r="K52" s="42"/>
      <c r="L52" s="121"/>
      <c r="M52" s="40"/>
      <c r="N52" s="41"/>
      <c r="O52" s="41"/>
      <c r="P52" s="42"/>
      <c r="Q52" s="121">
        <f>Q35+16.8</f>
        <v>98.8</v>
      </c>
    </row>
    <row r="53" spans="1:17" s="7" customFormat="1" ht="11.25" x14ac:dyDescent="0.2">
      <c r="A53" s="7" t="s">
        <v>30</v>
      </c>
      <c r="C53" s="40"/>
      <c r="D53" s="41"/>
      <c r="E53" s="41"/>
      <c r="F53" s="42"/>
      <c r="G53" s="121"/>
      <c r="H53" s="40"/>
      <c r="I53" s="41"/>
      <c r="J53" s="41"/>
      <c r="K53" s="42"/>
      <c r="L53" s="121"/>
      <c r="M53" s="40"/>
      <c r="N53" s="41"/>
      <c r="O53" s="41"/>
      <c r="P53" s="42"/>
      <c r="Q53" s="121">
        <f>Q36+28.5</f>
        <v>148</v>
      </c>
    </row>
    <row r="54" spans="1:17" s="7" customFormat="1" ht="11.25" x14ac:dyDescent="0.2">
      <c r="A54" s="7" t="s">
        <v>74</v>
      </c>
      <c r="C54" s="19"/>
      <c r="D54" s="20"/>
      <c r="E54" s="20"/>
      <c r="F54" s="21"/>
      <c r="G54" s="117"/>
      <c r="H54" s="19"/>
      <c r="I54" s="20"/>
      <c r="J54" s="20"/>
      <c r="K54" s="21"/>
      <c r="L54" s="117"/>
      <c r="M54" s="19"/>
      <c r="N54" s="20"/>
      <c r="O54" s="20"/>
      <c r="P54" s="21"/>
      <c r="Q54" s="117">
        <f>Q37+16</f>
        <v>13.600000000000001</v>
      </c>
    </row>
    <row r="55" spans="1:17" s="7" customFormat="1" ht="11.25" x14ac:dyDescent="0.2">
      <c r="A55" s="22" t="s">
        <v>31</v>
      </c>
      <c r="C55" s="43"/>
      <c r="D55" s="44"/>
      <c r="E55" s="44"/>
      <c r="F55" s="45"/>
      <c r="G55" s="122"/>
      <c r="H55" s="43"/>
      <c r="I55" s="44"/>
      <c r="J55" s="44"/>
      <c r="K55" s="45"/>
      <c r="L55" s="122"/>
      <c r="M55" s="43"/>
      <c r="N55" s="44"/>
      <c r="O55" s="44"/>
      <c r="P55" s="45"/>
      <c r="Q55" s="122">
        <f>SUM(Q50:Q54)</f>
        <v>449.4</v>
      </c>
    </row>
    <row r="56" spans="1:17" s="7" customFormat="1" ht="9.9499999999999993" customHeight="1" thickBot="1" x14ac:dyDescent="0.25">
      <c r="C56" s="14"/>
      <c r="F56" s="15"/>
      <c r="G56" s="115"/>
      <c r="H56" s="14"/>
      <c r="K56" s="15"/>
      <c r="L56" s="115"/>
      <c r="M56" s="14"/>
      <c r="P56" s="15"/>
      <c r="Q56" s="115"/>
    </row>
    <row r="57" spans="1:17" s="7" customFormat="1" ht="12" thickBot="1" x14ac:dyDescent="0.25">
      <c r="A57" s="13" t="s">
        <v>75</v>
      </c>
      <c r="C57" s="14"/>
      <c r="F57" s="15"/>
      <c r="G57" s="115"/>
      <c r="H57" s="14"/>
      <c r="K57" s="15"/>
      <c r="L57" s="115"/>
      <c r="M57" s="14"/>
      <c r="P57" s="15"/>
      <c r="Q57" s="115"/>
    </row>
    <row r="58" spans="1:17" s="7" customFormat="1" ht="11.25" x14ac:dyDescent="0.2">
      <c r="A58" s="7" t="s">
        <v>62</v>
      </c>
      <c r="C58" s="46"/>
      <c r="D58" s="35"/>
      <c r="E58" s="35"/>
      <c r="F58" s="47"/>
      <c r="G58" s="119"/>
      <c r="H58" s="46"/>
      <c r="I58" s="35"/>
      <c r="J58" s="35"/>
      <c r="K58" s="47"/>
      <c r="L58" s="119"/>
      <c r="M58" s="46"/>
      <c r="N58" s="35"/>
      <c r="O58" s="35"/>
      <c r="P58" s="47"/>
      <c r="Q58" s="119">
        <f t="shared" ref="Q58:Q61" si="19">+Q50/Q20</f>
        <v>8.2173749529898435E-2</v>
      </c>
    </row>
    <row r="59" spans="1:17" s="7" customFormat="1" ht="11.25" x14ac:dyDescent="0.2">
      <c r="A59" s="7" t="s">
        <v>63</v>
      </c>
      <c r="C59" s="46"/>
      <c r="D59" s="35"/>
      <c r="E59" s="35"/>
      <c r="F59" s="47"/>
      <c r="G59" s="119"/>
      <c r="H59" s="46"/>
      <c r="I59" s="35"/>
      <c r="J59" s="35"/>
      <c r="K59" s="47"/>
      <c r="L59" s="119"/>
      <c r="M59" s="46"/>
      <c r="N59" s="35"/>
      <c r="O59" s="35"/>
      <c r="P59" s="47"/>
      <c r="Q59" s="119">
        <f t="shared" si="19"/>
        <v>7.1191442272224278E-2</v>
      </c>
    </row>
    <row r="60" spans="1:17" s="7" customFormat="1" ht="11.25" x14ac:dyDescent="0.2">
      <c r="A60" s="7" t="s">
        <v>64</v>
      </c>
      <c r="C60" s="46"/>
      <c r="D60" s="35"/>
      <c r="E60" s="35"/>
      <c r="F60" s="47"/>
      <c r="G60" s="119"/>
      <c r="H60" s="46"/>
      <c r="I60" s="35"/>
      <c r="J60" s="35"/>
      <c r="K60" s="47"/>
      <c r="L60" s="119"/>
      <c r="M60" s="46"/>
      <c r="N60" s="35"/>
      <c r="O60" s="35"/>
      <c r="P60" s="47"/>
      <c r="Q60" s="119">
        <f t="shared" si="19"/>
        <v>0.10371614528658409</v>
      </c>
    </row>
    <row r="61" spans="1:17" s="7" customFormat="1" ht="11.25" x14ac:dyDescent="0.2">
      <c r="A61" s="7" t="s">
        <v>30</v>
      </c>
      <c r="C61" s="46"/>
      <c r="D61" s="35"/>
      <c r="E61" s="35"/>
      <c r="F61" s="47"/>
      <c r="G61" s="119"/>
      <c r="H61" s="46"/>
      <c r="I61" s="35"/>
      <c r="J61" s="35"/>
      <c r="K61" s="47"/>
      <c r="L61" s="119"/>
      <c r="M61" s="46"/>
      <c r="N61" s="35"/>
      <c r="O61" s="35"/>
      <c r="P61" s="47"/>
      <c r="Q61" s="119">
        <f t="shared" si="19"/>
        <v>0.18115055079559364</v>
      </c>
    </row>
    <row r="62" spans="1:17" s="7" customFormat="1" ht="11.25" x14ac:dyDescent="0.2">
      <c r="A62" s="22" t="s">
        <v>41</v>
      </c>
      <c r="B62" s="22"/>
      <c r="C62" s="48"/>
      <c r="D62" s="49"/>
      <c r="E62" s="49"/>
      <c r="F62" s="50"/>
      <c r="G62" s="123"/>
      <c r="H62" s="48"/>
      <c r="I62" s="49"/>
      <c r="J62" s="49"/>
      <c r="K62" s="50"/>
      <c r="L62" s="123"/>
      <c r="M62" s="48"/>
      <c r="N62" s="49"/>
      <c r="O62" s="49"/>
      <c r="P62" s="50"/>
      <c r="Q62" s="123">
        <f>+Q55/Q11</f>
        <v>0.11881659307828568</v>
      </c>
    </row>
    <row r="63" spans="1:17" s="7" customFormat="1" ht="11.25" x14ac:dyDescent="0.2">
      <c r="A63" s="2" t="s">
        <v>76</v>
      </c>
      <c r="B63" s="22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1:17" s="7" customFormat="1" ht="11.25" x14ac:dyDescent="0.2">
      <c r="A64" s="2" t="s">
        <v>77</v>
      </c>
      <c r="B64" s="22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s="7" customFormat="1" ht="11.25" x14ac:dyDescent="0.2">
      <c r="B65" s="22"/>
      <c r="C65" s="52" t="s">
        <v>78</v>
      </c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s="7" customFormat="1" ht="11.25" x14ac:dyDescent="0.2">
      <c r="B66" s="22"/>
      <c r="C66" s="52" t="s">
        <v>79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s="3" customFormat="1" ht="15" customHeigh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4"/>
      <c r="P67" s="4"/>
      <c r="Q67" s="4"/>
    </row>
    <row r="68" spans="1:17" ht="1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 s="5"/>
      <c r="P68" s="5"/>
      <c r="Q68" s="5"/>
    </row>
    <row r="69" spans="1:17" ht="8.1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 s="59"/>
      <c r="P69" s="59"/>
      <c r="Q69" s="59"/>
    </row>
    <row r="70" spans="1:17" s="7" customForma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7" s="7" customForma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7" s="7" customForma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7" s="7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7" s="7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7" s="7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7" s="7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7" s="7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7" s="7" customFormat="1" ht="9.9499999999999993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7" s="7" customForma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7" s="7" customForma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7" customForma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" customForma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7" customForma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7" customFormat="1" ht="9.9499999999999993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7" customForma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7" customForma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7" customForma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7" customForma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7" customForma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7" customFormat="1" ht="9.9499999999999993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7" customForma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7" customForma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7" customForma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7" customForma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7" customFormat="1" ht="9.9499999999999993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7" customForma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7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7" customForma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7" customForma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7" customForma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7" customForma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7" customFormat="1" ht="9.9499999999999993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7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7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7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7" customForma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7" customForma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7" customForma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7" customForma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7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7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</sheetData>
  <dataConsolidate/>
  <mergeCells count="3">
    <mergeCell ref="C4:G4"/>
    <mergeCell ref="H4:L4"/>
    <mergeCell ref="M4:Q4"/>
  </mergeCells>
  <phoneticPr fontId="0" type="noConversion"/>
  <pageMargins left="0.75" right="0.5" top="0.75" bottom="0.75" header="0.3" footer="0.3"/>
  <pageSetup scale="6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7"/>
  <sheetViews>
    <sheetView zoomScaleNormal="100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E78" sqref="E78"/>
    </sheetView>
  </sheetViews>
  <sheetFormatPr defaultColWidth="9.140625" defaultRowHeight="12.75" x14ac:dyDescent="0.2"/>
  <cols>
    <col min="1" max="1" width="25.85546875" style="1" customWidth="1"/>
    <col min="2" max="2" width="2.7109375" style="1" customWidth="1"/>
    <col min="3" max="6" width="7" style="1" customWidth="1"/>
    <col min="7" max="7" width="7.28515625" style="1" bestFit="1" customWidth="1"/>
    <col min="8" max="10" width="7" style="1" customWidth="1"/>
    <col min="11" max="11" width="6.5703125" style="1" bestFit="1" customWidth="1"/>
    <col min="12" max="12" width="7.28515625" style="1" bestFit="1" customWidth="1"/>
    <col min="13" max="13" width="6" style="1" bestFit="1" customWidth="1"/>
    <col min="14" max="17" width="7.28515625" style="1" bestFit="1" customWidth="1"/>
    <col min="18" max="16384" width="9.140625" style="1"/>
  </cols>
  <sheetData>
    <row r="1" spans="1:17" s="3" customFormat="1" ht="15" customHeight="1" x14ac:dyDescent="0.3">
      <c r="A1" s="5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s="3" customFormat="1" ht="15" customHeight="1" x14ac:dyDescent="0.3">
      <c r="A2" s="53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" customHeight="1" x14ac:dyDescent="0.25">
      <c r="A3" s="57" t="s">
        <v>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8.1" customHeight="1" thickBot="1" x14ac:dyDescent="0.3">
      <c r="A4" s="6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s="7" customFormat="1" ht="12" thickBot="1" x14ac:dyDescent="0.25">
      <c r="C5" s="159">
        <v>2012</v>
      </c>
      <c r="D5" s="160"/>
      <c r="E5" s="160"/>
      <c r="F5" s="160"/>
      <c r="G5" s="161"/>
      <c r="H5" s="159">
        <v>2013</v>
      </c>
      <c r="I5" s="160"/>
      <c r="J5" s="160"/>
      <c r="K5" s="160"/>
      <c r="L5" s="161"/>
      <c r="M5" s="159">
        <v>2014</v>
      </c>
      <c r="N5" s="160"/>
      <c r="O5" s="160"/>
      <c r="P5" s="160"/>
      <c r="Q5" s="161"/>
    </row>
    <row r="6" spans="1:17" s="7" customFormat="1" ht="12" thickBot="1" x14ac:dyDescent="0.25">
      <c r="A6" s="8"/>
      <c r="B6" s="8"/>
      <c r="C6" s="9" t="s">
        <v>46</v>
      </c>
      <c r="D6" s="10" t="s">
        <v>47</v>
      </c>
      <c r="E6" s="10" t="s">
        <v>48</v>
      </c>
      <c r="F6" s="11" t="s">
        <v>49</v>
      </c>
      <c r="G6" s="114" t="s">
        <v>50</v>
      </c>
      <c r="H6" s="10" t="s">
        <v>51</v>
      </c>
      <c r="I6" s="10" t="s">
        <v>52</v>
      </c>
      <c r="J6" s="10" t="s">
        <v>53</v>
      </c>
      <c r="K6" s="11" t="s">
        <v>54</v>
      </c>
      <c r="L6" s="114" t="s">
        <v>55</v>
      </c>
      <c r="M6" s="9" t="s">
        <v>56</v>
      </c>
      <c r="N6" s="10" t="s">
        <v>57</v>
      </c>
      <c r="O6" s="10" t="s">
        <v>58</v>
      </c>
      <c r="P6" s="11" t="s">
        <v>59</v>
      </c>
      <c r="Q6" s="114" t="s">
        <v>60</v>
      </c>
    </row>
    <row r="7" spans="1:17" s="7" customFormat="1" ht="12" thickBot="1" x14ac:dyDescent="0.25">
      <c r="A7" s="13" t="s">
        <v>61</v>
      </c>
      <c r="C7" s="14"/>
      <c r="F7" s="15"/>
      <c r="G7" s="115"/>
      <c r="K7" s="15"/>
      <c r="L7" s="115"/>
      <c r="M7" s="14"/>
      <c r="P7" s="15"/>
      <c r="Q7" s="115"/>
    </row>
    <row r="8" spans="1:17" s="7" customFormat="1" ht="11.25" x14ac:dyDescent="0.2">
      <c r="A8" s="7" t="s">
        <v>62</v>
      </c>
      <c r="C8" s="16">
        <v>339.40000000000003</v>
      </c>
      <c r="D8" s="17">
        <v>328.7</v>
      </c>
      <c r="E8" s="17">
        <v>341.49999999999994</v>
      </c>
      <c r="F8" s="18">
        <v>314.8</v>
      </c>
      <c r="G8" s="116">
        <f>SUM(C8:F8)</f>
        <v>1324.3999999999999</v>
      </c>
      <c r="H8" s="54">
        <v>332.9</v>
      </c>
      <c r="I8" s="17">
        <v>343.5</v>
      </c>
      <c r="J8" s="17">
        <v>358.69999999999993</v>
      </c>
      <c r="K8" s="18">
        <v>338</v>
      </c>
      <c r="L8" s="116">
        <f>SUM(H8:K8)</f>
        <v>1373.1</v>
      </c>
      <c r="M8" s="16">
        <v>341.6</v>
      </c>
      <c r="N8" s="17">
        <v>381.59999999999991</v>
      </c>
      <c r="O8" s="17">
        <v>446.2</v>
      </c>
      <c r="P8" s="18">
        <v>404.79999999999995</v>
      </c>
      <c r="Q8" s="116">
        <f>SUM(M8:P8)</f>
        <v>1574.1999999999998</v>
      </c>
    </row>
    <row r="9" spans="1:17" s="7" customFormat="1" ht="11.25" x14ac:dyDescent="0.2">
      <c r="A9" s="7" t="s">
        <v>63</v>
      </c>
      <c r="C9" s="16">
        <v>150.69999999999999</v>
      </c>
      <c r="D9" s="17">
        <v>150.70000000000002</v>
      </c>
      <c r="E9" s="17">
        <v>139.79999999999998</v>
      </c>
      <c r="F9" s="18">
        <v>117.69999999999999</v>
      </c>
      <c r="G9" s="116">
        <f t="shared" ref="G9:G10" si="0">SUM(C9:F9)</f>
        <v>558.89999999999986</v>
      </c>
      <c r="H9" s="54">
        <v>143.19999999999999</v>
      </c>
      <c r="I9" s="17">
        <v>138.9</v>
      </c>
      <c r="J9" s="17">
        <v>129.69999999999999</v>
      </c>
      <c r="K9" s="18">
        <v>117.79999999999998</v>
      </c>
      <c r="L9" s="116">
        <f t="shared" ref="L9:L10" si="1">SUM(H9:K9)</f>
        <v>529.6</v>
      </c>
      <c r="M9" s="16">
        <v>125.1</v>
      </c>
      <c r="N9" s="17">
        <v>135.60000000000002</v>
      </c>
      <c r="O9" s="17">
        <v>124.20000000000002</v>
      </c>
      <c r="P9" s="18">
        <v>107.09999999999998</v>
      </c>
      <c r="Q9" s="116">
        <f t="shared" ref="Q9:Q10" si="2">SUM(M9:P9)</f>
        <v>492.00000000000006</v>
      </c>
    </row>
    <row r="10" spans="1:17" s="7" customFormat="1" ht="11.25" x14ac:dyDescent="0.2">
      <c r="A10" s="7" t="s">
        <v>64</v>
      </c>
      <c r="C10" s="16">
        <v>225.2</v>
      </c>
      <c r="D10" s="17">
        <v>216.7</v>
      </c>
      <c r="E10" s="17">
        <v>211.60000000000002</v>
      </c>
      <c r="F10" s="18">
        <v>210</v>
      </c>
      <c r="G10" s="116">
        <f t="shared" si="0"/>
        <v>863.5</v>
      </c>
      <c r="H10" s="54">
        <v>214.60000000000002</v>
      </c>
      <c r="I10" s="17">
        <v>212.8</v>
      </c>
      <c r="J10" s="17">
        <v>214.4</v>
      </c>
      <c r="K10" s="18">
        <v>214.39999999999998</v>
      </c>
      <c r="L10" s="116">
        <f t="shared" si="1"/>
        <v>856.2</v>
      </c>
      <c r="M10" s="16">
        <v>215.2</v>
      </c>
      <c r="N10" s="17">
        <v>221.4</v>
      </c>
      <c r="O10" s="17">
        <v>225.3</v>
      </c>
      <c r="P10" s="18">
        <v>241.4</v>
      </c>
      <c r="Q10" s="116">
        <f t="shared" si="2"/>
        <v>903.30000000000007</v>
      </c>
    </row>
    <row r="11" spans="1:17" s="7" customFormat="1" ht="11.25" x14ac:dyDescent="0.2">
      <c r="A11" s="7" t="s">
        <v>30</v>
      </c>
      <c r="C11" s="19">
        <v>160.20000000000002</v>
      </c>
      <c r="D11" s="20">
        <v>171.2</v>
      </c>
      <c r="E11" s="20">
        <v>170</v>
      </c>
      <c r="F11" s="21">
        <v>166.3</v>
      </c>
      <c r="G11" s="117">
        <f>SUM(C11:F11)</f>
        <v>667.7</v>
      </c>
      <c r="H11" s="55">
        <v>170.1</v>
      </c>
      <c r="I11" s="20">
        <v>184.4</v>
      </c>
      <c r="J11" s="20">
        <v>174.8</v>
      </c>
      <c r="K11" s="21">
        <v>189.00000000000003</v>
      </c>
      <c r="L11" s="117">
        <f>SUM(H11:K11)</f>
        <v>718.3</v>
      </c>
      <c r="M11" s="19">
        <v>193.60000000000002</v>
      </c>
      <c r="N11" s="20">
        <v>217.49999999999997</v>
      </c>
      <c r="O11" s="20">
        <v>201.7</v>
      </c>
      <c r="P11" s="21">
        <v>200</v>
      </c>
      <c r="Q11" s="117">
        <f>SUM(M11:P11)</f>
        <v>812.8</v>
      </c>
    </row>
    <row r="12" spans="1:17" s="7" customFormat="1" ht="11.25" x14ac:dyDescent="0.2">
      <c r="A12" s="22" t="s">
        <v>31</v>
      </c>
      <c r="C12" s="23">
        <f t="shared" ref="C12:P12" si="3">SUM(C8:C11)</f>
        <v>875.5</v>
      </c>
      <c r="D12" s="24">
        <f t="shared" si="3"/>
        <v>867.3</v>
      </c>
      <c r="E12" s="24">
        <f t="shared" si="3"/>
        <v>862.9</v>
      </c>
      <c r="F12" s="25">
        <f t="shared" si="3"/>
        <v>808.8</v>
      </c>
      <c r="G12" s="138">
        <f>SUM(G8:G11)</f>
        <v>3414.5</v>
      </c>
      <c r="H12" s="56">
        <f t="shared" si="3"/>
        <v>860.80000000000007</v>
      </c>
      <c r="I12" s="27">
        <f t="shared" si="3"/>
        <v>879.6</v>
      </c>
      <c r="J12" s="27">
        <f t="shared" si="3"/>
        <v>877.59999999999991</v>
      </c>
      <c r="K12" s="28">
        <f t="shared" si="3"/>
        <v>859.19999999999993</v>
      </c>
      <c r="L12" s="138">
        <f>SUM(L8:L11)</f>
        <v>3477.2</v>
      </c>
      <c r="M12" s="26">
        <f t="shared" si="3"/>
        <v>875.50000000000011</v>
      </c>
      <c r="N12" s="27">
        <f t="shared" si="3"/>
        <v>956.09999999999991</v>
      </c>
      <c r="O12" s="27">
        <f t="shared" si="3"/>
        <v>997.40000000000009</v>
      </c>
      <c r="P12" s="28">
        <f t="shared" si="3"/>
        <v>953.3</v>
      </c>
      <c r="Q12" s="138">
        <f>SUM(Q8:Q11)</f>
        <v>3782.3</v>
      </c>
    </row>
    <row r="13" spans="1:17" s="7" customFormat="1" ht="9.9499999999999993" customHeight="1" x14ac:dyDescent="0.2">
      <c r="A13" s="22"/>
      <c r="C13" s="29"/>
      <c r="D13" s="30"/>
      <c r="E13" s="30"/>
      <c r="F13" s="31"/>
      <c r="G13" s="115"/>
      <c r="H13" s="30"/>
      <c r="I13" s="30"/>
      <c r="J13" s="30"/>
      <c r="K13" s="31"/>
      <c r="L13" s="115"/>
      <c r="M13" s="29"/>
      <c r="N13" s="30"/>
      <c r="O13" s="30"/>
      <c r="P13" s="31"/>
      <c r="Q13" s="115"/>
    </row>
    <row r="14" spans="1:17" s="7" customFormat="1" ht="11.25" x14ac:dyDescent="0.2">
      <c r="A14" s="22" t="s">
        <v>65</v>
      </c>
      <c r="C14" s="29"/>
      <c r="D14" s="30"/>
      <c r="E14" s="30"/>
      <c r="F14" s="31"/>
      <c r="G14" s="115"/>
      <c r="H14" s="30"/>
      <c r="I14" s="30"/>
      <c r="J14" s="30"/>
      <c r="K14" s="31"/>
      <c r="L14" s="115"/>
      <c r="M14" s="29"/>
      <c r="N14" s="30"/>
      <c r="O14" s="30"/>
      <c r="P14" s="31"/>
      <c r="Q14" s="115"/>
    </row>
    <row r="15" spans="1:17" s="7" customFormat="1" ht="11.25" x14ac:dyDescent="0.2">
      <c r="A15" s="7" t="s">
        <v>33</v>
      </c>
      <c r="C15" s="32">
        <v>7.0999999999999994E-2</v>
      </c>
      <c r="D15" s="33">
        <v>-6.0000000000000001E-3</v>
      </c>
      <c r="E15" s="33">
        <v>-4.0000000000000001E-3</v>
      </c>
      <c r="F15" s="34">
        <v>-1.4E-2</v>
      </c>
      <c r="G15" s="119">
        <v>1.0999999999999999E-2</v>
      </c>
      <c r="H15" s="33">
        <v>-2.3E-2</v>
      </c>
      <c r="I15" s="33">
        <v>8.0000000000000002E-3</v>
      </c>
      <c r="J15" s="33">
        <v>2E-3</v>
      </c>
      <c r="K15" s="34">
        <v>3.9E-2</v>
      </c>
      <c r="L15" s="119">
        <v>6.0000000000000001E-3</v>
      </c>
      <c r="M15" s="32">
        <v>-1E-3</v>
      </c>
      <c r="N15" s="33">
        <v>6.9000000000000006E-2</v>
      </c>
      <c r="O15" s="33">
        <v>8.5999999999999993E-2</v>
      </c>
      <c r="P15" s="34">
        <v>6.2E-2</v>
      </c>
      <c r="Q15" s="119">
        <v>5.3999999999999999E-2</v>
      </c>
    </row>
    <row r="16" spans="1:17" s="7" customFormat="1" ht="11.25" x14ac:dyDescent="0.2">
      <c r="A16" s="7" t="s">
        <v>66</v>
      </c>
      <c r="C16" s="32">
        <v>0.02</v>
      </c>
      <c r="D16" s="33">
        <v>2.4E-2</v>
      </c>
      <c r="E16" s="33">
        <v>2.3E-2</v>
      </c>
      <c r="F16" s="34">
        <v>2.3E-2</v>
      </c>
      <c r="G16" s="119">
        <v>2.3E-2</v>
      </c>
      <c r="H16" s="33">
        <v>6.0000000000000001E-3</v>
      </c>
      <c r="I16" s="33">
        <v>6.0000000000000001E-3</v>
      </c>
      <c r="J16" s="33">
        <v>1.4999999999999999E-2</v>
      </c>
      <c r="K16" s="34">
        <v>2.3E-2</v>
      </c>
      <c r="L16" s="119">
        <v>1.2E-2</v>
      </c>
      <c r="M16" s="32">
        <v>1.8077137546468225E-2</v>
      </c>
      <c r="N16" s="33">
        <v>1.797135061391536E-2</v>
      </c>
      <c r="O16" s="33">
        <v>5.0999999999999997E-2</v>
      </c>
      <c r="P16" s="34">
        <v>4.7520484171322208E-2</v>
      </c>
      <c r="Q16" s="119">
        <v>3.4000000000000002E-2</v>
      </c>
    </row>
    <row r="17" spans="1:17" s="7" customFormat="1" ht="11.25" x14ac:dyDescent="0.2">
      <c r="A17" s="7" t="s">
        <v>67</v>
      </c>
      <c r="C17" s="32">
        <v>0</v>
      </c>
      <c r="D17" s="33">
        <v>0</v>
      </c>
      <c r="E17" s="33">
        <v>0</v>
      </c>
      <c r="F17" s="34">
        <v>0</v>
      </c>
      <c r="G17" s="119">
        <v>0</v>
      </c>
      <c r="H17" s="33">
        <v>0</v>
      </c>
      <c r="I17" s="33">
        <v>0</v>
      </c>
      <c r="J17" s="33">
        <v>0</v>
      </c>
      <c r="K17" s="34">
        <v>0</v>
      </c>
      <c r="L17" s="119">
        <v>0</v>
      </c>
      <c r="M17" s="32">
        <v>0</v>
      </c>
      <c r="N17" s="33">
        <v>0</v>
      </c>
      <c r="O17" s="33">
        <v>0</v>
      </c>
      <c r="P17" s="34">
        <v>0</v>
      </c>
      <c r="Q17" s="119">
        <v>0</v>
      </c>
    </row>
    <row r="18" spans="1:17" s="7" customFormat="1" ht="11.25" x14ac:dyDescent="0.2">
      <c r="A18" s="22" t="s">
        <v>31</v>
      </c>
      <c r="C18" s="32">
        <f>SUM(C15:C17)</f>
        <v>9.0999999999999998E-2</v>
      </c>
      <c r="D18" s="33">
        <f t="shared" ref="D18:F18" si="4">SUM(D15:D17)</f>
        <v>1.8000000000000002E-2</v>
      </c>
      <c r="E18" s="33">
        <f t="shared" si="4"/>
        <v>1.9E-2</v>
      </c>
      <c r="F18" s="34">
        <f t="shared" si="4"/>
        <v>8.9999999999999993E-3</v>
      </c>
      <c r="G18" s="119">
        <f>SUM(G15:G17)</f>
        <v>3.4000000000000002E-2</v>
      </c>
      <c r="H18" s="33">
        <f t="shared" ref="H18:P18" si="5">SUM(H15:H17)</f>
        <v>-1.7000000000000001E-2</v>
      </c>
      <c r="I18" s="33">
        <f t="shared" si="5"/>
        <v>1.4E-2</v>
      </c>
      <c r="J18" s="33">
        <f t="shared" si="5"/>
        <v>1.7000000000000001E-2</v>
      </c>
      <c r="K18" s="34">
        <f t="shared" si="5"/>
        <v>6.2E-2</v>
      </c>
      <c r="L18" s="119">
        <f>SUM(L15:L17)</f>
        <v>1.8000000000000002E-2</v>
      </c>
      <c r="M18" s="32">
        <f t="shared" si="5"/>
        <v>1.7077137546468224E-2</v>
      </c>
      <c r="N18" s="33">
        <f t="shared" si="5"/>
        <v>8.6971350613915366E-2</v>
      </c>
      <c r="O18" s="33">
        <f t="shared" si="5"/>
        <v>0.13699999999999998</v>
      </c>
      <c r="P18" s="34">
        <f t="shared" si="5"/>
        <v>0.10952048417132221</v>
      </c>
      <c r="Q18" s="119">
        <f>SUM(Q15:Q17)</f>
        <v>8.7999999999999995E-2</v>
      </c>
    </row>
    <row r="19" spans="1:17" s="7" customFormat="1" ht="9.9499999999999993" customHeight="1" thickBot="1" x14ac:dyDescent="0.25">
      <c r="A19" s="22"/>
      <c r="C19" s="29"/>
      <c r="D19" s="30"/>
      <c r="E19" s="30"/>
      <c r="F19" s="31"/>
      <c r="G19" s="115"/>
      <c r="H19" s="33"/>
      <c r="I19" s="33"/>
      <c r="J19" s="33"/>
      <c r="K19" s="34"/>
      <c r="L19" s="115"/>
      <c r="M19" s="32"/>
      <c r="N19" s="33"/>
      <c r="O19" s="33"/>
      <c r="P19" s="34"/>
      <c r="Q19" s="115"/>
    </row>
    <row r="20" spans="1:17" s="7" customFormat="1" ht="12" thickBot="1" x14ac:dyDescent="0.25">
      <c r="A20" s="13" t="s">
        <v>68</v>
      </c>
      <c r="C20" s="14"/>
      <c r="F20" s="15"/>
      <c r="G20" s="115"/>
      <c r="K20" s="15"/>
      <c r="L20" s="115"/>
      <c r="M20" s="14"/>
      <c r="P20" s="15"/>
      <c r="Q20" s="115"/>
    </row>
    <row r="21" spans="1:17" s="7" customFormat="1" ht="11.25" x14ac:dyDescent="0.2">
      <c r="A21" s="7" t="s">
        <v>62</v>
      </c>
      <c r="C21" s="16">
        <v>344.6</v>
      </c>
      <c r="D21" s="17">
        <v>333.8</v>
      </c>
      <c r="E21" s="17">
        <v>345.8</v>
      </c>
      <c r="F21" s="18">
        <v>319.39999999999998</v>
      </c>
      <c r="G21" s="116">
        <f>SUM(C21:F21)</f>
        <v>1343.6</v>
      </c>
      <c r="H21" s="54">
        <v>338</v>
      </c>
      <c r="I21" s="17">
        <v>349.20000000000005</v>
      </c>
      <c r="J21" s="17">
        <v>363.09999999999991</v>
      </c>
      <c r="K21" s="18">
        <v>343.90000000000009</v>
      </c>
      <c r="L21" s="116">
        <f>SUM(H21:K21)</f>
        <v>1394.2</v>
      </c>
      <c r="M21" s="16">
        <v>346.9</v>
      </c>
      <c r="N21" s="17">
        <v>387.20000000000005</v>
      </c>
      <c r="O21" s="17">
        <v>452.30000000000007</v>
      </c>
      <c r="P21" s="18">
        <v>409</v>
      </c>
      <c r="Q21" s="116">
        <f>SUM(M21:P21)</f>
        <v>1595.4</v>
      </c>
    </row>
    <row r="22" spans="1:17" s="7" customFormat="1" ht="11.25" x14ac:dyDescent="0.2">
      <c r="A22" s="7" t="s">
        <v>63</v>
      </c>
      <c r="C22" s="16">
        <v>223.6</v>
      </c>
      <c r="D22" s="17">
        <v>218.8</v>
      </c>
      <c r="E22" s="17">
        <v>200.8</v>
      </c>
      <c r="F22" s="18">
        <v>174.6</v>
      </c>
      <c r="G22" s="116">
        <f t="shared" ref="G22:G23" si="6">SUM(C22:F22)</f>
        <v>817.80000000000007</v>
      </c>
      <c r="H22" s="54">
        <v>209.4</v>
      </c>
      <c r="I22" s="17">
        <v>203.99999999999997</v>
      </c>
      <c r="J22" s="17">
        <v>195.30000000000007</v>
      </c>
      <c r="K22" s="18">
        <v>181.09999999999991</v>
      </c>
      <c r="L22" s="116">
        <f t="shared" ref="L22:L23" si="7">SUM(H22:K22)</f>
        <v>789.8</v>
      </c>
      <c r="M22" s="16">
        <v>196.3</v>
      </c>
      <c r="N22" s="17">
        <v>207.5</v>
      </c>
      <c r="O22" s="17">
        <v>212.8</v>
      </c>
      <c r="P22" s="18">
        <v>196.69999999999993</v>
      </c>
      <c r="Q22" s="116">
        <f t="shared" ref="Q22:Q23" si="8">SUM(M22:P22)</f>
        <v>813.3</v>
      </c>
    </row>
    <row r="23" spans="1:17" s="7" customFormat="1" ht="11.25" x14ac:dyDescent="0.2">
      <c r="A23" s="7" t="s">
        <v>64</v>
      </c>
      <c r="C23" s="16">
        <v>230</v>
      </c>
      <c r="D23" s="17">
        <v>221.8</v>
      </c>
      <c r="E23" s="17">
        <v>217</v>
      </c>
      <c r="F23" s="18">
        <v>214.7</v>
      </c>
      <c r="G23" s="116">
        <f t="shared" si="6"/>
        <v>883.5</v>
      </c>
      <c r="H23" s="54">
        <v>219.5</v>
      </c>
      <c r="I23" s="17">
        <v>217.2</v>
      </c>
      <c r="J23" s="17">
        <v>219.2</v>
      </c>
      <c r="K23" s="18">
        <v>219.20000000000005</v>
      </c>
      <c r="L23" s="116">
        <f t="shared" si="7"/>
        <v>875.1</v>
      </c>
      <c r="M23" s="16">
        <v>221.6</v>
      </c>
      <c r="N23" s="17">
        <v>234.00000000000003</v>
      </c>
      <c r="O23" s="17">
        <v>239.60000000000002</v>
      </c>
      <c r="P23" s="18">
        <v>257.39999999999998</v>
      </c>
      <c r="Q23" s="116">
        <f t="shared" si="8"/>
        <v>952.6</v>
      </c>
    </row>
    <row r="24" spans="1:17" s="7" customFormat="1" ht="11.25" x14ac:dyDescent="0.2">
      <c r="A24" s="7" t="s">
        <v>30</v>
      </c>
      <c r="C24" s="19">
        <v>161.1</v>
      </c>
      <c r="D24" s="20">
        <v>172</v>
      </c>
      <c r="E24" s="20">
        <v>170.7</v>
      </c>
      <c r="F24" s="21">
        <v>166.9</v>
      </c>
      <c r="G24" s="117">
        <f>SUM(C24:F24)</f>
        <v>670.7</v>
      </c>
      <c r="H24" s="55">
        <v>170.8</v>
      </c>
      <c r="I24" s="20">
        <v>185.09999999999997</v>
      </c>
      <c r="J24" s="20">
        <v>175.60000000000002</v>
      </c>
      <c r="K24" s="21">
        <v>189.5</v>
      </c>
      <c r="L24" s="117">
        <f>SUM(H24:K24)</f>
        <v>721</v>
      </c>
      <c r="M24" s="19">
        <v>194.2</v>
      </c>
      <c r="N24" s="20">
        <v>218.3</v>
      </c>
      <c r="O24" s="20">
        <v>203.60000000000002</v>
      </c>
      <c r="P24" s="21">
        <v>200.89999999999998</v>
      </c>
      <c r="Q24" s="117">
        <f>SUM(M24:P24)</f>
        <v>817</v>
      </c>
    </row>
    <row r="25" spans="1:17" s="7" customFormat="1" ht="11.25" x14ac:dyDescent="0.2">
      <c r="A25" s="22" t="s">
        <v>31</v>
      </c>
      <c r="C25" s="23">
        <f t="shared" ref="C25:P25" si="9">SUM(C21:C24)</f>
        <v>959.30000000000007</v>
      </c>
      <c r="D25" s="24">
        <f t="shared" si="9"/>
        <v>946.40000000000009</v>
      </c>
      <c r="E25" s="24">
        <f t="shared" si="9"/>
        <v>934.3</v>
      </c>
      <c r="F25" s="25">
        <f t="shared" si="9"/>
        <v>875.6</v>
      </c>
      <c r="G25" s="138">
        <f>SUM(G21:G24)</f>
        <v>3715.6000000000004</v>
      </c>
      <c r="H25" s="56">
        <f t="shared" si="9"/>
        <v>937.7</v>
      </c>
      <c r="I25" s="27">
        <f t="shared" si="9"/>
        <v>955.5</v>
      </c>
      <c r="J25" s="27">
        <f t="shared" si="9"/>
        <v>953.19999999999993</v>
      </c>
      <c r="K25" s="28">
        <f t="shared" si="9"/>
        <v>933.7</v>
      </c>
      <c r="L25" s="138">
        <f>SUM(L21:L24)</f>
        <v>3780.1</v>
      </c>
      <c r="M25" s="26">
        <f t="shared" si="9"/>
        <v>959</v>
      </c>
      <c r="N25" s="27">
        <f t="shared" si="9"/>
        <v>1047</v>
      </c>
      <c r="O25" s="27">
        <f t="shared" si="9"/>
        <v>1108.3000000000002</v>
      </c>
      <c r="P25" s="28">
        <f t="shared" si="9"/>
        <v>1064</v>
      </c>
      <c r="Q25" s="138">
        <f>SUM(Q21:Q24)</f>
        <v>4178.2999999999993</v>
      </c>
    </row>
    <row r="26" spans="1:17" s="7" customFormat="1" ht="9.9499999999999993" customHeight="1" x14ac:dyDescent="0.2">
      <c r="C26" s="36"/>
      <c r="D26" s="37"/>
      <c r="E26" s="38"/>
      <c r="F26" s="39"/>
      <c r="G26" s="115"/>
      <c r="H26" s="37"/>
      <c r="I26" s="37"/>
      <c r="J26" s="38"/>
      <c r="K26" s="39"/>
      <c r="L26" s="115"/>
      <c r="M26" s="36"/>
      <c r="N26" s="37"/>
      <c r="O26" s="38"/>
      <c r="P26" s="39"/>
      <c r="Q26" s="115"/>
    </row>
    <row r="27" spans="1:17" s="7" customFormat="1" ht="11.25" x14ac:dyDescent="0.2">
      <c r="A27" s="22" t="s">
        <v>69</v>
      </c>
      <c r="C27" s="14"/>
      <c r="F27" s="15"/>
      <c r="G27" s="115"/>
      <c r="K27" s="15"/>
      <c r="L27" s="115"/>
      <c r="M27" s="14"/>
      <c r="P27" s="15"/>
      <c r="Q27" s="115"/>
    </row>
    <row r="28" spans="1:17" s="7" customFormat="1" ht="11.25" x14ac:dyDescent="0.2">
      <c r="A28" s="7" t="s">
        <v>62</v>
      </c>
      <c r="C28" s="32">
        <v>5.0999999999999997E-2</v>
      </c>
      <c r="D28" s="33">
        <v>-3.3000000000000002E-2</v>
      </c>
      <c r="E28" s="33">
        <v>-3.0000000000000001E-3</v>
      </c>
      <c r="F28" s="34">
        <v>1.4E-2</v>
      </c>
      <c r="G28" s="120">
        <v>7.0000000000000001E-3</v>
      </c>
      <c r="H28" s="33">
        <v>-2.1000000000000001E-2</v>
      </c>
      <c r="I28" s="33">
        <v>4.3999999999999997E-2</v>
      </c>
      <c r="J28" s="33">
        <v>4.8000000000000001E-2</v>
      </c>
      <c r="K28" s="34">
        <v>7.1999999999999995E-2</v>
      </c>
      <c r="L28" s="120">
        <v>3.5000000000000003E-2</v>
      </c>
      <c r="M28" s="32">
        <v>2.4E-2</v>
      </c>
      <c r="N28" s="33">
        <v>0.10199999999999999</v>
      </c>
      <c r="O28" s="33">
        <v>0.13700000000000001</v>
      </c>
      <c r="P28" s="34">
        <v>7.9000000000000001E-2</v>
      </c>
      <c r="Q28" s="120">
        <v>8.6999999999999994E-2</v>
      </c>
    </row>
    <row r="29" spans="1:17" s="7" customFormat="1" ht="11.25" x14ac:dyDescent="0.2">
      <c r="A29" s="7" t="s">
        <v>63</v>
      </c>
      <c r="C29" s="32">
        <v>6.2E-2</v>
      </c>
      <c r="D29" s="33">
        <v>-5.0999999999999997E-2</v>
      </c>
      <c r="E29" s="33">
        <v>-8.3000000000000004E-2</v>
      </c>
      <c r="F29" s="34">
        <v>-0.14099999999999999</v>
      </c>
      <c r="G29" s="120">
        <v>-5.2999999999999999E-2</v>
      </c>
      <c r="H29" s="33">
        <v>-8.5000000000000006E-2</v>
      </c>
      <c r="I29" s="33">
        <v>-8.5999999999999993E-2</v>
      </c>
      <c r="J29" s="33">
        <v>-5.1999999999999998E-2</v>
      </c>
      <c r="K29" s="34">
        <v>1.7999999999999999E-2</v>
      </c>
      <c r="L29" s="120">
        <v>-5.5E-2</v>
      </c>
      <c r="M29" s="32">
        <v>-6.2E-2</v>
      </c>
      <c r="N29" s="33">
        <v>1.7000000000000001E-2</v>
      </c>
      <c r="O29" s="33">
        <v>8.8999999999999996E-2</v>
      </c>
      <c r="P29" s="34">
        <v>8.5999999999999993E-2</v>
      </c>
      <c r="Q29" s="120">
        <v>0.03</v>
      </c>
    </row>
    <row r="30" spans="1:17" s="7" customFormat="1" ht="11.25" x14ac:dyDescent="0.2">
      <c r="A30" s="7" t="s">
        <v>64</v>
      </c>
      <c r="C30" s="32">
        <v>9.4E-2</v>
      </c>
      <c r="D30" s="33">
        <v>3.5999999999999997E-2</v>
      </c>
      <c r="E30" s="33">
        <v>2.4E-2</v>
      </c>
      <c r="F30" s="34">
        <v>3.2000000000000001E-2</v>
      </c>
      <c r="G30" s="120">
        <v>4.5999999999999999E-2</v>
      </c>
      <c r="H30" s="33">
        <v>-4.4999999999999998E-2</v>
      </c>
      <c r="I30" s="33">
        <v>-2.1000000000000001E-2</v>
      </c>
      <c r="J30" s="33">
        <v>0.01</v>
      </c>
      <c r="K30" s="34">
        <v>2.1000000000000001E-2</v>
      </c>
      <c r="L30" s="120">
        <v>0.01</v>
      </c>
      <c r="M30" s="32">
        <v>8.9999999999999993E-3</v>
      </c>
      <c r="N30" s="33">
        <v>7.8E-2</v>
      </c>
      <c r="O30" s="33">
        <v>9.2999999999999999E-2</v>
      </c>
      <c r="P30" s="34">
        <v>0.16</v>
      </c>
      <c r="Q30" s="120">
        <v>8.5000000000000006E-2</v>
      </c>
    </row>
    <row r="31" spans="1:17" s="7" customFormat="1" ht="11.25" x14ac:dyDescent="0.2">
      <c r="A31" s="7" t="s">
        <v>30</v>
      </c>
      <c r="C31" s="32">
        <v>9.0999999999999998E-2</v>
      </c>
      <c r="D31" s="33">
        <v>0.09</v>
      </c>
      <c r="E31" s="33">
        <v>0.06</v>
      </c>
      <c r="F31" s="34">
        <v>0.04</v>
      </c>
      <c r="G31" s="120">
        <v>7.0000000000000007E-2</v>
      </c>
      <c r="H31" s="33">
        <v>0.06</v>
      </c>
      <c r="I31" s="33">
        <v>7.1999999999999995E-2</v>
      </c>
      <c r="J31" s="33">
        <v>-1.6E-2</v>
      </c>
      <c r="K31" s="34">
        <v>5.0999999999999997E-2</v>
      </c>
      <c r="L31" s="120">
        <v>4.1000000000000002E-2</v>
      </c>
      <c r="M31" s="32">
        <v>0.05</v>
      </c>
      <c r="N31" s="33">
        <v>0.108</v>
      </c>
      <c r="O31" s="33">
        <v>0.13600000000000001</v>
      </c>
      <c r="P31" s="34">
        <v>0.06</v>
      </c>
      <c r="Q31" s="120">
        <v>8.7999999999999995E-2</v>
      </c>
    </row>
    <row r="32" spans="1:17" s="7" customFormat="1" ht="9.9499999999999993" customHeight="1" thickBot="1" x14ac:dyDescent="0.25">
      <c r="C32" s="14"/>
      <c r="F32" s="15"/>
      <c r="G32" s="115"/>
      <c r="K32" s="15"/>
      <c r="L32" s="115"/>
      <c r="M32" s="14"/>
      <c r="P32" s="15"/>
      <c r="Q32" s="115"/>
    </row>
    <row r="33" spans="1:17" s="7" customFormat="1" ht="12" thickBot="1" x14ac:dyDescent="0.25">
      <c r="A33" s="13" t="s">
        <v>81</v>
      </c>
      <c r="C33" s="14"/>
      <c r="F33" s="15"/>
      <c r="G33" s="115"/>
      <c r="K33" s="15"/>
      <c r="L33" s="115"/>
      <c r="M33" s="14"/>
      <c r="P33" s="15"/>
      <c r="Q33" s="115"/>
    </row>
    <row r="34" spans="1:17" s="7" customFormat="1" ht="11.25" x14ac:dyDescent="0.2">
      <c r="A34" s="7" t="s">
        <v>62</v>
      </c>
      <c r="C34" s="40">
        <v>24.5</v>
      </c>
      <c r="D34" s="41">
        <v>27.699999999999996</v>
      </c>
      <c r="E34" s="41">
        <v>26.2</v>
      </c>
      <c r="F34" s="42">
        <v>23.299999999999994</v>
      </c>
      <c r="G34" s="121">
        <f>SUM(C34:F34)</f>
        <v>101.69999999999999</v>
      </c>
      <c r="H34" s="41">
        <v>19.700000000000006</v>
      </c>
      <c r="I34" s="41">
        <v>26.399999999999995</v>
      </c>
      <c r="J34" s="41">
        <v>29</v>
      </c>
      <c r="K34" s="42">
        <v>26.500000000000004</v>
      </c>
      <c r="L34" s="121">
        <f>SUM(H34:K34)</f>
        <v>101.6</v>
      </c>
      <c r="M34" s="40">
        <v>33.9</v>
      </c>
      <c r="N34" s="41">
        <v>36.9</v>
      </c>
      <c r="O34" s="41">
        <f>SUM(11.2,31.4)</f>
        <v>42.599999999999994</v>
      </c>
      <c r="P34" s="41">
        <f>SUM(6.4,22)</f>
        <v>28.4</v>
      </c>
      <c r="Q34" s="121">
        <f>SUM(M34:P34)</f>
        <v>141.79999999999998</v>
      </c>
    </row>
    <row r="35" spans="1:17" s="7" customFormat="1" ht="11.25" x14ac:dyDescent="0.2">
      <c r="A35" s="7" t="s">
        <v>63</v>
      </c>
      <c r="C35" s="40">
        <v>11.7</v>
      </c>
      <c r="D35" s="41">
        <v>15.3</v>
      </c>
      <c r="E35" s="41">
        <v>21.9</v>
      </c>
      <c r="F35" s="42">
        <v>18.799999999999997</v>
      </c>
      <c r="G35" s="121">
        <f t="shared" ref="G35:G37" si="10">SUM(C35:F35)</f>
        <v>67.699999999999989</v>
      </c>
      <c r="H35" s="41">
        <v>19.399999999999995</v>
      </c>
      <c r="I35" s="41">
        <v>18.3</v>
      </c>
      <c r="J35" s="41">
        <v>17.900000000000002</v>
      </c>
      <c r="K35" s="42">
        <v>-1.9999999999999989</v>
      </c>
      <c r="L35" s="121">
        <f t="shared" ref="L35:L37" si="11">SUM(H35:K35)</f>
        <v>53.599999999999994</v>
      </c>
      <c r="M35" s="40">
        <v>7.4000000000000021</v>
      </c>
      <c r="N35" s="41">
        <v>9.1</v>
      </c>
      <c r="O35" s="41">
        <v>14.700000000000001</v>
      </c>
      <c r="P35" s="42">
        <v>12.799999999999999</v>
      </c>
      <c r="Q35" s="121">
        <f t="shared" ref="Q35:Q37" si="12">SUM(M35:P35)</f>
        <v>44</v>
      </c>
    </row>
    <row r="36" spans="1:17" s="7" customFormat="1" ht="11.25" x14ac:dyDescent="0.2">
      <c r="A36" s="7" t="s">
        <v>64</v>
      </c>
      <c r="C36" s="40">
        <v>21.800000000000004</v>
      </c>
      <c r="D36" s="41">
        <v>20.299999999999997</v>
      </c>
      <c r="E36" s="41">
        <v>17.700000000000003</v>
      </c>
      <c r="F36" s="42">
        <v>18.900000000000002</v>
      </c>
      <c r="G36" s="121">
        <f t="shared" si="10"/>
        <v>78.7</v>
      </c>
      <c r="H36" s="41">
        <v>19.3</v>
      </c>
      <c r="I36" s="41">
        <v>17.8</v>
      </c>
      <c r="J36" s="41">
        <v>21.099999999999998</v>
      </c>
      <c r="K36" s="42">
        <v>19.7</v>
      </c>
      <c r="L36" s="121">
        <f t="shared" si="11"/>
        <v>77.900000000000006</v>
      </c>
      <c r="M36" s="40">
        <v>19.600000000000001</v>
      </c>
      <c r="N36" s="41">
        <v>22.4</v>
      </c>
      <c r="O36" s="41">
        <v>21.2</v>
      </c>
      <c r="P36" s="42">
        <v>18.799999999999997</v>
      </c>
      <c r="Q36" s="121">
        <f t="shared" si="12"/>
        <v>82</v>
      </c>
    </row>
    <row r="37" spans="1:17" s="7" customFormat="1" ht="11.25" x14ac:dyDescent="0.2">
      <c r="A37" s="7" t="s">
        <v>30</v>
      </c>
      <c r="C37" s="40">
        <v>14.599999999999998</v>
      </c>
      <c r="D37" s="41">
        <v>23.1</v>
      </c>
      <c r="E37" s="41">
        <v>21.700000000000003</v>
      </c>
      <c r="F37" s="42">
        <v>17.5</v>
      </c>
      <c r="G37" s="121">
        <f t="shared" si="10"/>
        <v>76.900000000000006</v>
      </c>
      <c r="H37" s="41">
        <v>22.299999999999997</v>
      </c>
      <c r="I37" s="41">
        <v>28.500000000000007</v>
      </c>
      <c r="J37" s="41">
        <v>21.000000000000004</v>
      </c>
      <c r="K37" s="42">
        <f>-40.5+66.8</f>
        <v>26.299999999999997</v>
      </c>
      <c r="L37" s="121">
        <f t="shared" si="11"/>
        <v>98.100000000000009</v>
      </c>
      <c r="M37" s="40">
        <v>26.6</v>
      </c>
      <c r="N37" s="41">
        <v>34.1</v>
      </c>
      <c r="O37" s="41">
        <v>29.099999999999998</v>
      </c>
      <c r="P37" s="42">
        <v>29.700000000000003</v>
      </c>
      <c r="Q37" s="121">
        <f t="shared" si="12"/>
        <v>119.5</v>
      </c>
    </row>
    <row r="38" spans="1:17" s="7" customFormat="1" ht="11.25" x14ac:dyDescent="0.2">
      <c r="A38" s="7" t="s">
        <v>71</v>
      </c>
      <c r="C38" s="19">
        <v>-0.8</v>
      </c>
      <c r="D38" s="20">
        <v>-0.50000000000000022</v>
      </c>
      <c r="E38" s="20">
        <v>0.10000000000000037</v>
      </c>
      <c r="F38" s="21">
        <v>0.59999999999999987</v>
      </c>
      <c r="G38" s="117">
        <f>SUM(C38:F38)</f>
        <v>-0.60000000000000009</v>
      </c>
      <c r="H38" s="55">
        <v>-2.2000000000000002</v>
      </c>
      <c r="I38" s="20">
        <v>0.50000000000000044</v>
      </c>
      <c r="J38" s="20">
        <f>10.4-8.7</f>
        <v>1.7000000000000011</v>
      </c>
      <c r="K38" s="21">
        <v>1.5</v>
      </c>
      <c r="L38" s="117">
        <f>SUM(H38:K38)</f>
        <v>1.5000000000000013</v>
      </c>
      <c r="M38" s="19">
        <v>-1.7000000000000002</v>
      </c>
      <c r="N38" s="20">
        <v>-0.30000000000000016</v>
      </c>
      <c r="O38" s="20">
        <v>-0.79999999999999916</v>
      </c>
      <c r="P38" s="21">
        <v>0.40000000000000019</v>
      </c>
      <c r="Q38" s="117">
        <f>SUM(M38:P38)</f>
        <v>-2.3999999999999995</v>
      </c>
    </row>
    <row r="39" spans="1:17" s="7" customFormat="1" ht="11.25" x14ac:dyDescent="0.2">
      <c r="A39" s="22" t="s">
        <v>31</v>
      </c>
      <c r="C39" s="43">
        <f t="shared" ref="C39:P39" si="13">SUM(C33:C38)</f>
        <v>71.800000000000011</v>
      </c>
      <c r="D39" s="44">
        <f t="shared" si="13"/>
        <v>85.9</v>
      </c>
      <c r="E39" s="44">
        <f t="shared" si="13"/>
        <v>87.6</v>
      </c>
      <c r="F39" s="45">
        <f t="shared" si="13"/>
        <v>79.099999999999994</v>
      </c>
      <c r="G39" s="122">
        <f>SUM(G34:G38)</f>
        <v>324.39999999999998</v>
      </c>
      <c r="H39" s="44">
        <f t="shared" si="13"/>
        <v>78.5</v>
      </c>
      <c r="I39" s="44">
        <f t="shared" si="13"/>
        <v>91.5</v>
      </c>
      <c r="J39" s="44">
        <f t="shared" si="13"/>
        <v>90.7</v>
      </c>
      <c r="K39" s="45">
        <f t="shared" si="13"/>
        <v>72</v>
      </c>
      <c r="L39" s="122">
        <f>SUM(L34:L38)</f>
        <v>332.7</v>
      </c>
      <c r="M39" s="43">
        <f t="shared" si="13"/>
        <v>85.8</v>
      </c>
      <c r="N39" s="44">
        <f t="shared" si="13"/>
        <v>102.2</v>
      </c>
      <c r="O39" s="44">
        <f t="shared" si="13"/>
        <v>106.8</v>
      </c>
      <c r="P39" s="45">
        <f t="shared" si="13"/>
        <v>90.1</v>
      </c>
      <c r="Q39" s="122">
        <f>SUM(Q34:Q38)</f>
        <v>384.9</v>
      </c>
    </row>
    <row r="40" spans="1:17" s="7" customFormat="1" ht="9.9499999999999993" customHeight="1" thickBot="1" x14ac:dyDescent="0.25">
      <c r="C40" s="14"/>
      <c r="F40" s="15"/>
      <c r="G40" s="115"/>
      <c r="K40" s="15"/>
      <c r="L40" s="115"/>
      <c r="M40" s="14"/>
      <c r="P40" s="15"/>
      <c r="Q40" s="115"/>
    </row>
    <row r="41" spans="1:17" s="7" customFormat="1" ht="12" thickBot="1" x14ac:dyDescent="0.25">
      <c r="A41" s="13" t="s">
        <v>72</v>
      </c>
      <c r="C41" s="14"/>
      <c r="F41" s="15"/>
      <c r="G41" s="115"/>
      <c r="K41" s="15"/>
      <c r="L41" s="115"/>
      <c r="M41" s="14"/>
      <c r="P41" s="15"/>
      <c r="Q41" s="115"/>
    </row>
    <row r="42" spans="1:17" s="7" customFormat="1" ht="11.25" x14ac:dyDescent="0.2">
      <c r="A42" s="7" t="s">
        <v>62</v>
      </c>
      <c r="C42" s="46">
        <f t="shared" ref="C42:Q45" si="14">+C34/C21</f>
        <v>7.1096923969820078E-2</v>
      </c>
      <c r="D42" s="35">
        <f t="shared" si="14"/>
        <v>8.2983822648292377E-2</v>
      </c>
      <c r="E42" s="35">
        <f t="shared" si="14"/>
        <v>7.576633892423365E-2</v>
      </c>
      <c r="F42" s="47">
        <f t="shared" si="14"/>
        <v>7.2949279899812133E-2</v>
      </c>
      <c r="G42" s="119">
        <f t="shared" si="14"/>
        <v>7.5692170288776423E-2</v>
      </c>
      <c r="H42" s="35">
        <f t="shared" si="14"/>
        <v>5.8284023668639072E-2</v>
      </c>
      <c r="I42" s="35">
        <f t="shared" si="14"/>
        <v>7.5601374570446717E-2</v>
      </c>
      <c r="J42" s="35">
        <f t="shared" si="14"/>
        <v>7.9867805012393295E-2</v>
      </c>
      <c r="K42" s="47">
        <f t="shared" si="14"/>
        <v>7.7057284094213419E-2</v>
      </c>
      <c r="L42" s="119">
        <f t="shared" si="14"/>
        <v>7.2873332376990382E-2</v>
      </c>
      <c r="M42" s="46">
        <f t="shared" si="14"/>
        <v>9.772268665321418E-2</v>
      </c>
      <c r="N42" s="35">
        <f t="shared" si="14"/>
        <v>9.5299586776859485E-2</v>
      </c>
      <c r="O42" s="35">
        <f t="shared" si="14"/>
        <v>9.4185275259783305E-2</v>
      </c>
      <c r="P42" s="47">
        <f t="shared" si="14"/>
        <v>6.9437652811735931E-2</v>
      </c>
      <c r="Q42" s="119">
        <f t="shared" si="14"/>
        <v>8.8880531528143403E-2</v>
      </c>
    </row>
    <row r="43" spans="1:17" s="7" customFormat="1" ht="11.25" x14ac:dyDescent="0.2">
      <c r="A43" s="7" t="s">
        <v>63</v>
      </c>
      <c r="C43" s="46">
        <f t="shared" si="14"/>
        <v>5.2325581395348833E-2</v>
      </c>
      <c r="D43" s="35">
        <f t="shared" si="14"/>
        <v>6.9926873857404023E-2</v>
      </c>
      <c r="E43" s="35">
        <f t="shared" si="14"/>
        <v>0.10906374501992031</v>
      </c>
      <c r="F43" s="47">
        <f t="shared" si="14"/>
        <v>0.10767468499427262</v>
      </c>
      <c r="G43" s="119">
        <f t="shared" si="14"/>
        <v>8.2783076546832951E-2</v>
      </c>
      <c r="H43" s="35">
        <f t="shared" si="14"/>
        <v>9.2645654250238754E-2</v>
      </c>
      <c r="I43" s="35">
        <f t="shared" si="14"/>
        <v>8.9705882352941191E-2</v>
      </c>
      <c r="J43" s="35">
        <f t="shared" si="14"/>
        <v>9.1653865847414209E-2</v>
      </c>
      <c r="K43" s="47">
        <f t="shared" si="14"/>
        <v>-1.1043622308117063E-2</v>
      </c>
      <c r="L43" s="119">
        <f t="shared" si="14"/>
        <v>6.7865282349962017E-2</v>
      </c>
      <c r="M43" s="46">
        <f t="shared" si="14"/>
        <v>3.7697401935812544E-2</v>
      </c>
      <c r="N43" s="35">
        <f t="shared" si="14"/>
        <v>4.3855421686746984E-2</v>
      </c>
      <c r="O43" s="35">
        <f t="shared" si="14"/>
        <v>6.9078947368421059E-2</v>
      </c>
      <c r="P43" s="47">
        <f t="shared" si="14"/>
        <v>6.5073716319267935E-2</v>
      </c>
      <c r="Q43" s="119">
        <f t="shared" si="14"/>
        <v>5.4100577892536583E-2</v>
      </c>
    </row>
    <row r="44" spans="1:17" s="7" customFormat="1" ht="11.25" x14ac:dyDescent="0.2">
      <c r="A44" s="7" t="s">
        <v>64</v>
      </c>
      <c r="C44" s="46">
        <f t="shared" si="14"/>
        <v>9.4782608695652193E-2</v>
      </c>
      <c r="D44" s="35">
        <f t="shared" si="14"/>
        <v>9.1523895401262378E-2</v>
      </c>
      <c r="E44" s="35">
        <f t="shared" si="14"/>
        <v>8.1566820276497712E-2</v>
      </c>
      <c r="F44" s="47">
        <f t="shared" si="14"/>
        <v>8.8029809035864007E-2</v>
      </c>
      <c r="G44" s="119">
        <f t="shared" si="14"/>
        <v>8.907753254103E-2</v>
      </c>
      <c r="H44" s="35">
        <f t="shared" si="14"/>
        <v>8.7927107061503418E-2</v>
      </c>
      <c r="I44" s="35">
        <f t="shared" si="14"/>
        <v>8.1952117863720086E-2</v>
      </c>
      <c r="J44" s="35">
        <f t="shared" si="14"/>
        <v>9.6259124087591241E-2</v>
      </c>
      <c r="K44" s="47">
        <f t="shared" si="14"/>
        <v>8.9872262773722608E-2</v>
      </c>
      <c r="L44" s="119">
        <f t="shared" si="14"/>
        <v>8.9018397897383167E-2</v>
      </c>
      <c r="M44" s="46">
        <f t="shared" si="14"/>
        <v>8.8447653429602896E-2</v>
      </c>
      <c r="N44" s="35">
        <f t="shared" si="14"/>
        <v>9.5726495726495706E-2</v>
      </c>
      <c r="O44" s="35">
        <f t="shared" si="14"/>
        <v>8.8480801335559259E-2</v>
      </c>
      <c r="P44" s="47">
        <f t="shared" si="14"/>
        <v>7.303807303807304E-2</v>
      </c>
      <c r="Q44" s="119">
        <f t="shared" si="14"/>
        <v>8.6080201553642655E-2</v>
      </c>
    </row>
    <row r="45" spans="1:17" s="7" customFormat="1" ht="11.25" x14ac:dyDescent="0.2">
      <c r="A45" s="7" t="s">
        <v>30</v>
      </c>
      <c r="C45" s="46">
        <f t="shared" si="14"/>
        <v>9.062693978895095E-2</v>
      </c>
      <c r="D45" s="35">
        <f t="shared" si="14"/>
        <v>0.13430232558139535</v>
      </c>
      <c r="E45" s="35">
        <f t="shared" si="14"/>
        <v>0.12712360867018163</v>
      </c>
      <c r="F45" s="47">
        <f t="shared" si="14"/>
        <v>0.1048532055122828</v>
      </c>
      <c r="G45" s="119">
        <f t="shared" si="14"/>
        <v>0.11465632920828984</v>
      </c>
      <c r="H45" s="35">
        <f t="shared" si="14"/>
        <v>0.13056206088992972</v>
      </c>
      <c r="I45" s="35">
        <f t="shared" si="14"/>
        <v>0.15397082658022698</v>
      </c>
      <c r="J45" s="35">
        <f t="shared" si="14"/>
        <v>0.11958997722095673</v>
      </c>
      <c r="K45" s="47">
        <f t="shared" si="14"/>
        <v>0.13878627968337728</v>
      </c>
      <c r="L45" s="119">
        <f t="shared" si="14"/>
        <v>0.13606102635228851</v>
      </c>
      <c r="M45" s="46">
        <f t="shared" si="14"/>
        <v>0.1369721936148301</v>
      </c>
      <c r="N45" s="35">
        <f t="shared" si="14"/>
        <v>0.15620705451213926</v>
      </c>
      <c r="O45" s="35">
        <f t="shared" si="14"/>
        <v>0.14292730844793711</v>
      </c>
      <c r="P45" s="47">
        <f t="shared" si="14"/>
        <v>0.147834743653559</v>
      </c>
      <c r="Q45" s="119">
        <f t="shared" si="14"/>
        <v>0.14626682986536108</v>
      </c>
    </row>
    <row r="46" spans="1:17" s="7" customFormat="1" ht="11.25" x14ac:dyDescent="0.2">
      <c r="A46" s="22" t="s">
        <v>41</v>
      </c>
      <c r="B46" s="22"/>
      <c r="C46" s="48">
        <f t="shared" ref="C46:P46" si="15">+C39/C12</f>
        <v>8.2010279840091391E-2</v>
      </c>
      <c r="D46" s="49">
        <f t="shared" si="15"/>
        <v>9.904300703332182E-2</v>
      </c>
      <c r="E46" s="49">
        <f t="shared" si="15"/>
        <v>0.10151813651639818</v>
      </c>
      <c r="F46" s="50">
        <f t="shared" si="15"/>
        <v>9.779920870425321E-2</v>
      </c>
      <c r="G46" s="123">
        <f>+G39/G12</f>
        <v>9.5006589544589251E-2</v>
      </c>
      <c r="H46" s="49">
        <f t="shared" si="15"/>
        <v>9.1194237918215612E-2</v>
      </c>
      <c r="I46" s="49">
        <f t="shared" si="15"/>
        <v>0.10402455661664392</v>
      </c>
      <c r="J46" s="49">
        <f t="shared" si="15"/>
        <v>0.10335004557885143</v>
      </c>
      <c r="K46" s="50">
        <f t="shared" si="15"/>
        <v>8.3798882681564255E-2</v>
      </c>
      <c r="L46" s="123">
        <f>+L39/L12</f>
        <v>9.5680432531922238E-2</v>
      </c>
      <c r="M46" s="48">
        <f t="shared" si="15"/>
        <v>9.8001142204454578E-2</v>
      </c>
      <c r="N46" s="49">
        <f t="shared" si="15"/>
        <v>0.10689258445769273</v>
      </c>
      <c r="O46" s="49">
        <f t="shared" si="15"/>
        <v>0.10707840385001001</v>
      </c>
      <c r="P46" s="50">
        <f t="shared" si="15"/>
        <v>9.4513794188607989E-2</v>
      </c>
      <c r="Q46" s="123">
        <f>+Q39/Q12</f>
        <v>0.10176347724929274</v>
      </c>
    </row>
    <row r="47" spans="1:17" s="7" customFormat="1" ht="11.25" x14ac:dyDescent="0.2">
      <c r="A47" s="2" t="s">
        <v>42</v>
      </c>
      <c r="B47" s="22"/>
      <c r="C47" s="48"/>
      <c r="D47" s="49"/>
      <c r="E47" s="49"/>
      <c r="F47" s="49"/>
      <c r="G47" s="115"/>
      <c r="K47" s="15"/>
      <c r="L47" s="115"/>
      <c r="M47" s="14"/>
      <c r="P47" s="15"/>
      <c r="Q47" s="115"/>
    </row>
    <row r="48" spans="1:17" s="7" customFormat="1" ht="11.25" x14ac:dyDescent="0.2">
      <c r="A48" s="2" t="s">
        <v>43</v>
      </c>
      <c r="B48" s="22"/>
      <c r="C48" s="127"/>
      <c r="D48" s="51"/>
      <c r="E48" s="51"/>
      <c r="F48" s="51"/>
      <c r="G48" s="115"/>
      <c r="K48" s="15"/>
      <c r="L48" s="115"/>
      <c r="M48" s="14"/>
      <c r="P48" s="15"/>
      <c r="Q48" s="115"/>
    </row>
    <row r="49" spans="1:17" s="7" customFormat="1" ht="9.9499999999999993" customHeight="1" thickBot="1" x14ac:dyDescent="0.25">
      <c r="C49" s="14"/>
      <c r="F49" s="15"/>
      <c r="G49" s="115"/>
      <c r="K49" s="15"/>
      <c r="L49" s="115"/>
      <c r="M49" s="14"/>
      <c r="P49" s="15"/>
      <c r="Q49" s="115"/>
    </row>
    <row r="50" spans="1:17" s="7" customFormat="1" ht="12" thickBot="1" x14ac:dyDescent="0.25">
      <c r="A50" s="13" t="s">
        <v>73</v>
      </c>
      <c r="C50" s="14"/>
      <c r="F50" s="15"/>
      <c r="G50" s="115"/>
      <c r="K50" s="15"/>
      <c r="L50" s="115"/>
      <c r="M50" s="14"/>
      <c r="P50" s="15"/>
      <c r="Q50" s="115"/>
    </row>
    <row r="51" spans="1:17" s="7" customFormat="1" ht="11.25" x14ac:dyDescent="0.2">
      <c r="A51" s="7" t="s">
        <v>62</v>
      </c>
      <c r="C51" s="40"/>
      <c r="D51" s="41"/>
      <c r="E51" s="41"/>
      <c r="F51" s="42"/>
      <c r="G51" s="121"/>
      <c r="H51" s="41"/>
      <c r="I51" s="41"/>
      <c r="J51" s="41"/>
      <c r="K51" s="42"/>
      <c r="L51" s="121"/>
      <c r="M51" s="40"/>
      <c r="N51" s="41"/>
      <c r="O51" s="41"/>
      <c r="P51" s="42"/>
      <c r="Q51" s="121">
        <f>Q34+42.7</f>
        <v>184.5</v>
      </c>
    </row>
    <row r="52" spans="1:17" s="7" customFormat="1" ht="11.25" x14ac:dyDescent="0.2">
      <c r="A52" s="7" t="s">
        <v>63</v>
      </c>
      <c r="C52" s="40"/>
      <c r="D52" s="41"/>
      <c r="E52" s="41"/>
      <c r="F52" s="42"/>
      <c r="G52" s="121"/>
      <c r="H52" s="41"/>
      <c r="I52" s="41"/>
      <c r="J52" s="41"/>
      <c r="K52" s="42"/>
      <c r="L52" s="121"/>
      <c r="M52" s="40"/>
      <c r="N52" s="41"/>
      <c r="O52" s="41"/>
      <c r="P52" s="42"/>
      <c r="Q52" s="121">
        <f>Q35+13.9</f>
        <v>57.9</v>
      </c>
    </row>
    <row r="53" spans="1:17" s="7" customFormat="1" ht="11.25" x14ac:dyDescent="0.2">
      <c r="A53" s="7" t="s">
        <v>64</v>
      </c>
      <c r="C53" s="40"/>
      <c r="D53" s="41"/>
      <c r="E53" s="41"/>
      <c r="F53" s="42"/>
      <c r="G53" s="121"/>
      <c r="H53" s="41"/>
      <c r="I53" s="41"/>
      <c r="J53" s="41"/>
      <c r="K53" s="42"/>
      <c r="L53" s="121"/>
      <c r="M53" s="40"/>
      <c r="N53" s="41"/>
      <c r="O53" s="41"/>
      <c r="P53" s="42"/>
      <c r="Q53" s="121">
        <f>Q36+16.8</f>
        <v>98.8</v>
      </c>
    </row>
    <row r="54" spans="1:17" s="7" customFormat="1" ht="11.25" x14ac:dyDescent="0.2">
      <c r="A54" s="7" t="s">
        <v>30</v>
      </c>
      <c r="C54" s="40"/>
      <c r="D54" s="41"/>
      <c r="E54" s="41"/>
      <c r="F54" s="42"/>
      <c r="G54" s="121"/>
      <c r="H54" s="41"/>
      <c r="I54" s="41"/>
      <c r="J54" s="41"/>
      <c r="K54" s="42"/>
      <c r="L54" s="121"/>
      <c r="M54" s="40"/>
      <c r="N54" s="41"/>
      <c r="O54" s="41"/>
      <c r="P54" s="42"/>
      <c r="Q54" s="121">
        <f>Q37+28.5</f>
        <v>148</v>
      </c>
    </row>
    <row r="55" spans="1:17" s="7" customFormat="1" ht="11.25" x14ac:dyDescent="0.2">
      <c r="A55" s="7" t="s">
        <v>74</v>
      </c>
      <c r="C55" s="19"/>
      <c r="D55" s="20"/>
      <c r="E55" s="20"/>
      <c r="F55" s="21"/>
      <c r="G55" s="117"/>
      <c r="H55" s="55"/>
      <c r="I55" s="20"/>
      <c r="J55" s="20"/>
      <c r="K55" s="21"/>
      <c r="L55" s="117"/>
      <c r="M55" s="19"/>
      <c r="N55" s="20"/>
      <c r="O55" s="20"/>
      <c r="P55" s="21"/>
      <c r="Q55" s="117">
        <f>Q38+16</f>
        <v>13.600000000000001</v>
      </c>
    </row>
    <row r="56" spans="1:17" s="7" customFormat="1" ht="11.25" x14ac:dyDescent="0.2">
      <c r="A56" s="22" t="s">
        <v>31</v>
      </c>
      <c r="C56" s="43"/>
      <c r="D56" s="44"/>
      <c r="E56" s="44"/>
      <c r="F56" s="45"/>
      <c r="G56" s="122"/>
      <c r="H56" s="44"/>
      <c r="I56" s="44"/>
      <c r="J56" s="44"/>
      <c r="K56" s="45"/>
      <c r="L56" s="122"/>
      <c r="M56" s="43"/>
      <c r="N56" s="44"/>
      <c r="O56" s="44"/>
      <c r="P56" s="45"/>
      <c r="Q56" s="122">
        <f>SUM(Q51:Q55)</f>
        <v>502.8</v>
      </c>
    </row>
    <row r="57" spans="1:17" s="7" customFormat="1" ht="9.9499999999999993" customHeight="1" thickBot="1" x14ac:dyDescent="0.25">
      <c r="C57" s="14"/>
      <c r="F57" s="15"/>
      <c r="G57" s="115"/>
      <c r="K57" s="15"/>
      <c r="L57" s="115"/>
      <c r="M57" s="14"/>
      <c r="P57" s="15"/>
      <c r="Q57" s="115"/>
    </row>
    <row r="58" spans="1:17" s="7" customFormat="1" ht="12" thickBot="1" x14ac:dyDescent="0.25">
      <c r="A58" s="13" t="s">
        <v>75</v>
      </c>
      <c r="C58" s="14"/>
      <c r="F58" s="15"/>
      <c r="G58" s="115"/>
      <c r="K58" s="15"/>
      <c r="L58" s="115"/>
      <c r="M58" s="14"/>
      <c r="P58" s="15"/>
      <c r="Q58" s="115"/>
    </row>
    <row r="59" spans="1:17" s="7" customFormat="1" ht="11.25" x14ac:dyDescent="0.2">
      <c r="A59" s="7" t="s">
        <v>62</v>
      </c>
      <c r="C59" s="46"/>
      <c r="D59" s="35"/>
      <c r="E59" s="35"/>
      <c r="F59" s="47"/>
      <c r="G59" s="119"/>
      <c r="H59" s="35"/>
      <c r="I59" s="35"/>
      <c r="J59" s="35"/>
      <c r="K59" s="47"/>
      <c r="L59" s="119"/>
      <c r="M59" s="46"/>
      <c r="N59" s="35"/>
      <c r="O59" s="35"/>
      <c r="P59" s="47"/>
      <c r="Q59" s="119">
        <f t="shared" ref="Q59:Q62" si="16">+Q51/Q21</f>
        <v>0.11564497931553215</v>
      </c>
    </row>
    <row r="60" spans="1:17" s="7" customFormat="1" ht="11.25" x14ac:dyDescent="0.2">
      <c r="A60" s="7" t="s">
        <v>63</v>
      </c>
      <c r="C60" s="46"/>
      <c r="D60" s="35"/>
      <c r="E60" s="35"/>
      <c r="F60" s="47"/>
      <c r="G60" s="119"/>
      <c r="H60" s="35"/>
      <c r="I60" s="35"/>
      <c r="J60" s="35"/>
      <c r="K60" s="47"/>
      <c r="L60" s="119"/>
      <c r="M60" s="46"/>
      <c r="N60" s="35"/>
      <c r="O60" s="35"/>
      <c r="P60" s="47"/>
      <c r="Q60" s="119">
        <f t="shared" si="16"/>
        <v>7.1191442272224278E-2</v>
      </c>
    </row>
    <row r="61" spans="1:17" s="7" customFormat="1" ht="11.25" x14ac:dyDescent="0.2">
      <c r="A61" s="7" t="s">
        <v>64</v>
      </c>
      <c r="C61" s="46"/>
      <c r="D61" s="35"/>
      <c r="E61" s="35"/>
      <c r="F61" s="47"/>
      <c r="G61" s="119"/>
      <c r="H61" s="35"/>
      <c r="I61" s="35"/>
      <c r="J61" s="35"/>
      <c r="K61" s="47"/>
      <c r="L61" s="119"/>
      <c r="M61" s="46"/>
      <c r="N61" s="35"/>
      <c r="O61" s="35"/>
      <c r="P61" s="47"/>
      <c r="Q61" s="119">
        <f t="shared" si="16"/>
        <v>0.10371614528658409</v>
      </c>
    </row>
    <row r="62" spans="1:17" s="7" customFormat="1" ht="11.25" x14ac:dyDescent="0.2">
      <c r="A62" s="7" t="s">
        <v>30</v>
      </c>
      <c r="C62" s="46"/>
      <c r="D62" s="35"/>
      <c r="E62" s="35"/>
      <c r="F62" s="47"/>
      <c r="G62" s="119"/>
      <c r="H62" s="35"/>
      <c r="I62" s="35"/>
      <c r="J62" s="35"/>
      <c r="K62" s="47"/>
      <c r="L62" s="119"/>
      <c r="M62" s="46"/>
      <c r="N62" s="35"/>
      <c r="O62" s="35"/>
      <c r="P62" s="47"/>
      <c r="Q62" s="119">
        <f t="shared" si="16"/>
        <v>0.18115055079559364</v>
      </c>
    </row>
    <row r="63" spans="1:17" s="7" customFormat="1" ht="11.25" x14ac:dyDescent="0.2">
      <c r="A63" s="22" t="s">
        <v>41</v>
      </c>
      <c r="B63" s="22"/>
      <c r="C63" s="48"/>
      <c r="D63" s="49"/>
      <c r="E63" s="49"/>
      <c r="F63" s="50"/>
      <c r="G63" s="123"/>
      <c r="H63" s="49"/>
      <c r="I63" s="49"/>
      <c r="J63" s="49"/>
      <c r="K63" s="50"/>
      <c r="L63" s="123"/>
      <c r="M63" s="48"/>
      <c r="N63" s="49"/>
      <c r="O63" s="49"/>
      <c r="P63" s="50"/>
      <c r="Q63" s="123">
        <f>+Q56/Q12</f>
        <v>0.13293498664833567</v>
      </c>
    </row>
    <row r="64" spans="1:17" s="7" customFormat="1" ht="11.25" x14ac:dyDescent="0.2">
      <c r="A64" s="2" t="s">
        <v>76</v>
      </c>
      <c r="B64" s="22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1:17" s="7" customFormat="1" ht="11.25" x14ac:dyDescent="0.2">
      <c r="A65" s="2" t="s">
        <v>77</v>
      </c>
      <c r="B65" s="22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s="7" customFormat="1" ht="11.25" x14ac:dyDescent="0.2">
      <c r="B66" s="22"/>
      <c r="C66" s="52" t="s">
        <v>82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s="7" customFormat="1" x14ac:dyDescent="0.2">
      <c r="B67" s="22"/>
      <c r="C67" s="52" t="s">
        <v>83</v>
      </c>
      <c r="I67" s="22"/>
      <c r="J67" s="51"/>
      <c r="K67" s="51"/>
      <c r="L67" s="51"/>
      <c r="M67" s="51"/>
      <c r="N67" s="51"/>
      <c r="O67" s="58"/>
      <c r="P67" s="51"/>
      <c r="Q67" s="51"/>
    </row>
    <row r="68" spans="1:17" s="3" customFormat="1" ht="15" hidden="1" customHeight="1" x14ac:dyDescent="0.3">
      <c r="A68"/>
      <c r="B68"/>
      <c r="C68" s="52" t="s">
        <v>84</v>
      </c>
      <c r="D68" s="124"/>
      <c r="E68" s="124"/>
      <c r="F68" s="124"/>
      <c r="G68" s="124"/>
      <c r="H68" s="124"/>
      <c r="I68" s="125"/>
      <c r="J68" s="126"/>
      <c r="K68" s="126"/>
      <c r="L68" s="51"/>
      <c r="M68" s="51"/>
      <c r="N68" s="51"/>
      <c r="O68" s="58"/>
      <c r="P68" s="4"/>
      <c r="Q68" s="4"/>
    </row>
    <row r="69" spans="1:17" ht="15" customHeight="1" x14ac:dyDescent="0.25">
      <c r="A69"/>
      <c r="B69"/>
      <c r="C69" s="52"/>
      <c r="D69" s="7"/>
      <c r="E69" s="7"/>
      <c r="F69" s="7"/>
      <c r="G69" s="7"/>
      <c r="H69" s="7"/>
      <c r="I69" s="22"/>
      <c r="J69" s="51"/>
      <c r="K69" s="51"/>
      <c r="L69" s="51"/>
      <c r="M69" s="51"/>
      <c r="N69" s="51"/>
      <c r="O69" s="58"/>
      <c r="P69" s="5"/>
      <c r="Q69" s="5"/>
    </row>
    <row r="70" spans="1:17" ht="10.5" customHeight="1" x14ac:dyDescent="0.2">
      <c r="A70"/>
      <c r="B70"/>
      <c r="C70" s="52"/>
      <c r="D70" s="7"/>
      <c r="E70" s="7"/>
      <c r="F70" s="7"/>
      <c r="G70" s="7"/>
      <c r="H70" s="7"/>
      <c r="I70" s="22"/>
      <c r="J70" s="51"/>
      <c r="K70" s="51"/>
      <c r="L70" s="51"/>
      <c r="M70" s="51"/>
      <c r="N70" s="51"/>
      <c r="O70" s="58"/>
      <c r="P70" s="59"/>
      <c r="Q70" s="59"/>
    </row>
    <row r="71" spans="1:17" s="7" customFormat="1" x14ac:dyDescent="0.2">
      <c r="A71"/>
      <c r="B71"/>
      <c r="C71" s="52"/>
      <c r="I71" s="22"/>
      <c r="J71" s="51"/>
      <c r="K71" s="51"/>
      <c r="L71" s="51"/>
      <c r="M71" s="51"/>
      <c r="N71" s="51"/>
      <c r="O71" s="58"/>
    </row>
    <row r="72" spans="1:17" s="7" customFormat="1" x14ac:dyDescent="0.2">
      <c r="A72"/>
      <c r="B72"/>
      <c r="C72" s="52"/>
      <c r="I72" s="22"/>
      <c r="J72" s="51"/>
      <c r="K72" s="51"/>
      <c r="L72" s="51"/>
      <c r="M72" s="51"/>
      <c r="N72" s="51"/>
      <c r="O72" s="58"/>
    </row>
    <row r="73" spans="1:17" s="7" customForma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7" s="7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7" s="7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7" s="7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7" s="7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7" s="7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7" s="7" customFormat="1" ht="9.9499999999999993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7" s="7" customForma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7" customForma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" customForma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7" customForma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7" customForma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7" customFormat="1" ht="9.9499999999999993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7" customForma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7" customForma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7" customForma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7" customForma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7" customForma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7" customFormat="1" ht="9.9499999999999993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7" customForma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7" customForma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7" customForma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7" customForma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ht="9.9499999999999993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7" customForma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7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7" customForma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7" customForma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7" customForma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7" customForma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7" customForma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7" customFormat="1" ht="9.9499999999999993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7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7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7" customForma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7" customForma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7" customForma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7" customForma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7" customForma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7" customForma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7" customForma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</sheetData>
  <mergeCells count="3">
    <mergeCell ref="C5:G5"/>
    <mergeCell ref="H5:L5"/>
    <mergeCell ref="M5:Q5"/>
  </mergeCells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5636-06CA-4544-AAB9-72E763AB8CBF}">
  <dimension ref="A1:BH107"/>
  <sheetViews>
    <sheetView view="pageBreakPreview" zoomScaleNormal="110" zoomScaleSheetLayoutView="10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BE27" sqref="BE27"/>
    </sheetView>
  </sheetViews>
  <sheetFormatPr defaultColWidth="9.140625" defaultRowHeight="12.75" x14ac:dyDescent="0.2"/>
  <cols>
    <col min="1" max="1" width="25.85546875" style="1" customWidth="1"/>
    <col min="2" max="2" width="2.7109375" style="1" customWidth="1"/>
    <col min="3" max="48" width="7" style="1" customWidth="1"/>
    <col min="49" max="49" width="7.28515625" style="1" customWidth="1"/>
    <col min="50" max="57" width="7" style="1" customWidth="1"/>
    <col min="58" max="16384" width="9.140625" style="1"/>
  </cols>
  <sheetData>
    <row r="1" spans="1:57" s="3" customFormat="1" ht="20.25" x14ac:dyDescent="0.3">
      <c r="A1" s="53" t="s">
        <v>85</v>
      </c>
      <c r="B1" s="4"/>
    </row>
    <row r="2" spans="1:57" ht="15" customHeight="1" x14ac:dyDescent="0.25">
      <c r="A2" s="53" t="s">
        <v>45</v>
      </c>
      <c r="B2" s="5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1:57" ht="8.1" customHeight="1" thickBot="1" x14ac:dyDescent="0.3">
      <c r="A3" s="6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s="7" customFormat="1" ht="12" thickBot="1" x14ac:dyDescent="0.25">
      <c r="C4" s="159">
        <v>2015</v>
      </c>
      <c r="D4" s="160"/>
      <c r="E4" s="160"/>
      <c r="F4" s="160"/>
      <c r="G4" s="161"/>
      <c r="H4" s="159">
        <v>2016</v>
      </c>
      <c r="I4" s="160"/>
      <c r="J4" s="160"/>
      <c r="K4" s="160"/>
      <c r="L4" s="161"/>
      <c r="M4" s="159">
        <v>2017</v>
      </c>
      <c r="N4" s="160"/>
      <c r="O4" s="160"/>
      <c r="P4" s="160"/>
      <c r="Q4" s="161"/>
      <c r="R4" s="159">
        <v>2018</v>
      </c>
      <c r="S4" s="160"/>
      <c r="T4" s="160"/>
      <c r="U4" s="160"/>
      <c r="V4" s="161"/>
      <c r="W4" s="159">
        <v>2019</v>
      </c>
      <c r="X4" s="160"/>
      <c r="Y4" s="160"/>
      <c r="Z4" s="160"/>
      <c r="AA4" s="161"/>
      <c r="AB4" s="159">
        <v>2020</v>
      </c>
      <c r="AC4" s="160"/>
      <c r="AD4" s="160"/>
      <c r="AE4" s="160"/>
      <c r="AF4" s="161"/>
      <c r="AG4" s="159">
        <v>2021</v>
      </c>
      <c r="AH4" s="160"/>
      <c r="AI4" s="160"/>
      <c r="AJ4" s="160"/>
      <c r="AK4" s="161"/>
      <c r="AL4" s="159">
        <v>2022</v>
      </c>
      <c r="AM4" s="160"/>
      <c r="AN4" s="160"/>
      <c r="AO4" s="160"/>
      <c r="AP4" s="161"/>
      <c r="AQ4" s="159">
        <v>2023</v>
      </c>
      <c r="AR4" s="160"/>
      <c r="AS4" s="160"/>
      <c r="AT4" s="160"/>
      <c r="AU4" s="161"/>
      <c r="AV4" s="159">
        <v>2024</v>
      </c>
      <c r="AW4" s="160"/>
      <c r="AX4" s="160"/>
      <c r="AY4" s="160"/>
      <c r="AZ4" s="161"/>
      <c r="BA4" s="159">
        <v>2025</v>
      </c>
      <c r="BB4" s="160"/>
      <c r="BC4" s="160"/>
      <c r="BD4" s="160"/>
      <c r="BE4" s="161"/>
    </row>
    <row r="5" spans="1:57" s="136" customFormat="1" ht="12" thickBot="1" x14ac:dyDescent="0.25">
      <c r="A5" s="133"/>
      <c r="B5" s="133"/>
      <c r="C5" s="134" t="s">
        <v>86</v>
      </c>
      <c r="D5" s="12" t="s">
        <v>87</v>
      </c>
      <c r="E5" s="12" t="s">
        <v>88</v>
      </c>
      <c r="F5" s="135" t="s">
        <v>89</v>
      </c>
      <c r="G5" s="114" t="s">
        <v>90</v>
      </c>
      <c r="H5" s="12" t="s">
        <v>91</v>
      </c>
      <c r="I5" s="12" t="s">
        <v>92</v>
      </c>
      <c r="J5" s="12" t="s">
        <v>93</v>
      </c>
      <c r="K5" s="135" t="s">
        <v>94</v>
      </c>
      <c r="L5" s="114" t="s">
        <v>95</v>
      </c>
      <c r="M5" s="134" t="s">
        <v>96</v>
      </c>
      <c r="N5" s="12" t="s">
        <v>97</v>
      </c>
      <c r="O5" s="12" t="s">
        <v>98</v>
      </c>
      <c r="P5" s="135" t="s">
        <v>99</v>
      </c>
      <c r="Q5" s="114" t="s">
        <v>100</v>
      </c>
      <c r="R5" s="134" t="s">
        <v>101</v>
      </c>
      <c r="S5" s="12" t="s">
        <v>102</v>
      </c>
      <c r="T5" s="12" t="s">
        <v>103</v>
      </c>
      <c r="U5" s="135" t="s">
        <v>104</v>
      </c>
      <c r="V5" s="114" t="s">
        <v>105</v>
      </c>
      <c r="W5" s="134" t="s">
        <v>106</v>
      </c>
      <c r="X5" s="12" t="s">
        <v>107</v>
      </c>
      <c r="Y5" s="12" t="s">
        <v>108</v>
      </c>
      <c r="Z5" s="135" t="s">
        <v>109</v>
      </c>
      <c r="AA5" s="114" t="s">
        <v>110</v>
      </c>
      <c r="AB5" s="134" t="s">
        <v>111</v>
      </c>
      <c r="AC5" s="12" t="s">
        <v>112</v>
      </c>
      <c r="AD5" s="12" t="s">
        <v>113</v>
      </c>
      <c r="AE5" s="135" t="s">
        <v>114</v>
      </c>
      <c r="AF5" s="114" t="s">
        <v>115</v>
      </c>
      <c r="AG5" s="134" t="s">
        <v>116</v>
      </c>
      <c r="AH5" s="12" t="s">
        <v>117</v>
      </c>
      <c r="AI5" s="12" t="s">
        <v>118</v>
      </c>
      <c r="AJ5" s="135" t="s">
        <v>119</v>
      </c>
      <c r="AK5" s="114" t="s">
        <v>120</v>
      </c>
      <c r="AL5" s="134" t="s">
        <v>121</v>
      </c>
      <c r="AM5" s="12" t="s">
        <v>122</v>
      </c>
      <c r="AN5" s="12" t="s">
        <v>123</v>
      </c>
      <c r="AO5" s="135" t="s">
        <v>124</v>
      </c>
      <c r="AP5" s="114" t="s">
        <v>125</v>
      </c>
      <c r="AQ5" s="134" t="s">
        <v>126</v>
      </c>
      <c r="AR5" s="12" t="s">
        <v>127</v>
      </c>
      <c r="AS5" s="12" t="s">
        <v>128</v>
      </c>
      <c r="AT5" s="135" t="s">
        <v>129</v>
      </c>
      <c r="AU5" s="114" t="s">
        <v>130</v>
      </c>
      <c r="AV5" s="134" t="s">
        <v>131</v>
      </c>
      <c r="AW5" s="12" t="s">
        <v>132</v>
      </c>
      <c r="AX5" s="12" t="s">
        <v>133</v>
      </c>
      <c r="AY5" s="135" t="s">
        <v>134</v>
      </c>
      <c r="AZ5" s="114" t="s">
        <v>135</v>
      </c>
      <c r="BA5" s="134" t="s">
        <v>136</v>
      </c>
      <c r="BB5" s="12" t="s">
        <v>137</v>
      </c>
      <c r="BC5" s="12" t="s">
        <v>138</v>
      </c>
      <c r="BD5" s="135" t="s">
        <v>139</v>
      </c>
      <c r="BE5" s="114" t="s">
        <v>140</v>
      </c>
    </row>
    <row r="6" spans="1:57" s="7" customFormat="1" ht="12" thickBot="1" x14ac:dyDescent="0.25">
      <c r="A6" s="13" t="s">
        <v>61</v>
      </c>
      <c r="C6" s="14"/>
      <c r="F6" s="15"/>
      <c r="G6" s="115"/>
      <c r="K6" s="15"/>
      <c r="L6" s="115"/>
      <c r="M6" s="14"/>
      <c r="P6" s="15"/>
      <c r="Q6" s="115"/>
      <c r="R6" s="14"/>
      <c r="U6" s="15"/>
      <c r="V6" s="115"/>
      <c r="W6" s="14"/>
      <c r="Z6" s="15"/>
      <c r="AA6" s="115"/>
      <c r="AB6" s="14"/>
      <c r="AE6" s="15"/>
      <c r="AF6" s="115"/>
      <c r="AG6" s="14"/>
      <c r="AJ6" s="15"/>
      <c r="AK6" s="115"/>
      <c r="AL6" s="14"/>
      <c r="AO6" s="15"/>
      <c r="AP6" s="115"/>
      <c r="AQ6" s="14"/>
      <c r="AT6" s="15"/>
      <c r="AU6" s="115"/>
      <c r="AV6" s="14"/>
      <c r="AY6" s="15"/>
      <c r="AZ6" s="115"/>
      <c r="BA6" s="14"/>
      <c r="BD6" s="15"/>
      <c r="BE6" s="115"/>
    </row>
    <row r="7" spans="1:57" s="7" customFormat="1" ht="11.25" x14ac:dyDescent="0.2">
      <c r="A7" s="7" t="s">
        <v>141</v>
      </c>
      <c r="C7" s="16">
        <v>445.2</v>
      </c>
      <c r="D7" s="17">
        <v>429.9</v>
      </c>
      <c r="E7" s="17">
        <v>449.7</v>
      </c>
      <c r="F7" s="18">
        <v>399.2</v>
      </c>
      <c r="G7" s="116">
        <f>SUM(C7:F7)</f>
        <v>1724</v>
      </c>
      <c r="H7" s="54">
        <v>393.6</v>
      </c>
      <c r="I7" s="54">
        <v>384.6</v>
      </c>
      <c r="J7" s="54">
        <v>389.4</v>
      </c>
      <c r="K7" s="18">
        <v>353.3</v>
      </c>
      <c r="L7" s="116">
        <f>SUM(H7:K7)</f>
        <v>1520.8999999999999</v>
      </c>
      <c r="M7" s="16">
        <v>391.1</v>
      </c>
      <c r="N7" s="54">
        <v>388.9</v>
      </c>
      <c r="O7" s="54">
        <v>420.9</v>
      </c>
      <c r="P7" s="18">
        <v>404</v>
      </c>
      <c r="Q7" s="116">
        <f>SUM(M7:P7)</f>
        <v>1604.9</v>
      </c>
      <c r="R7" s="16">
        <v>427.7</v>
      </c>
      <c r="S7" s="54">
        <v>453.3</v>
      </c>
      <c r="T7" s="54">
        <v>479.7</v>
      </c>
      <c r="U7" s="18">
        <v>434.6</v>
      </c>
      <c r="V7" s="116">
        <f>SUM(R7:U7)</f>
        <v>1795.3000000000002</v>
      </c>
      <c r="W7" s="16">
        <v>554.29999999999995</v>
      </c>
      <c r="X7" s="54">
        <v>568.4</v>
      </c>
      <c r="Y7" s="54">
        <v>601.4</v>
      </c>
      <c r="Z7" s="18">
        <v>530.20000000000005</v>
      </c>
      <c r="AA7" s="116">
        <f>SUM(W7:Z7)</f>
        <v>2254.3000000000002</v>
      </c>
      <c r="AB7" s="16">
        <v>490.6</v>
      </c>
      <c r="AC7" s="54">
        <v>410.6</v>
      </c>
      <c r="AD7" s="54">
        <v>589.79999999999995</v>
      </c>
      <c r="AE7" s="18">
        <v>548.29999999999995</v>
      </c>
      <c r="AF7" s="116">
        <f>SUM(AB7:AE7)</f>
        <v>2039.3</v>
      </c>
      <c r="AG7" s="16">
        <v>535.79999999999995</v>
      </c>
      <c r="AH7" s="54">
        <v>608.70000000000005</v>
      </c>
      <c r="AI7" s="54">
        <v>664.1</v>
      </c>
      <c r="AJ7" s="18">
        <v>647.29999999999995</v>
      </c>
      <c r="AK7" s="116">
        <f>SUM(AG7:AJ7)</f>
        <v>2455.8999999999996</v>
      </c>
      <c r="AL7" s="16">
        <v>639.4</v>
      </c>
      <c r="AM7" s="54">
        <v>612.5</v>
      </c>
      <c r="AN7" s="54">
        <v>582</v>
      </c>
      <c r="AO7" s="18">
        <v>522.4</v>
      </c>
      <c r="AP7" s="116">
        <f>SUM(AL7:AO7)</f>
        <v>2356.3000000000002</v>
      </c>
      <c r="AQ7" s="16">
        <v>528.5</v>
      </c>
      <c r="AR7" s="54">
        <v>504.4</v>
      </c>
      <c r="AS7" s="54">
        <v>483.3</v>
      </c>
      <c r="AT7" s="18">
        <v>448.5</v>
      </c>
      <c r="AU7" s="116">
        <f>SUM(AQ7:AT7)</f>
        <v>1964.7</v>
      </c>
      <c r="AV7" s="16">
        <v>448</v>
      </c>
      <c r="AW7" s="54">
        <v>438</v>
      </c>
      <c r="AX7" s="54">
        <v>445.5</v>
      </c>
      <c r="AY7" s="18">
        <v>420.2</v>
      </c>
      <c r="AZ7" s="116">
        <f>SUM(AV7:AY7)</f>
        <v>1751.7</v>
      </c>
      <c r="BA7" s="16">
        <v>390.7</v>
      </c>
      <c r="BB7" s="54">
        <v>391.4</v>
      </c>
      <c r="BC7" s="54">
        <v>402.5</v>
      </c>
      <c r="BD7" s="18">
        <v>373.8</v>
      </c>
      <c r="BE7" s="116">
        <f>SUM(BA7:BD7)</f>
        <v>1558.3999999999999</v>
      </c>
    </row>
    <row r="8" spans="1:57" s="7" customFormat="1" ht="11.25" x14ac:dyDescent="0.2">
      <c r="A8" s="7" t="s">
        <v>30</v>
      </c>
      <c r="C8" s="16">
        <v>204.3</v>
      </c>
      <c r="D8" s="17">
        <v>214.9</v>
      </c>
      <c r="E8" s="17">
        <v>210</v>
      </c>
      <c r="F8" s="18">
        <v>211.6</v>
      </c>
      <c r="G8" s="116">
        <f>SUM(C8:F8)</f>
        <v>840.80000000000007</v>
      </c>
      <c r="H8" s="54">
        <v>219.79999999999998</v>
      </c>
      <c r="I8" s="54">
        <v>235.4</v>
      </c>
      <c r="J8" s="54">
        <v>219.7</v>
      </c>
      <c r="K8" s="18">
        <v>224.9</v>
      </c>
      <c r="L8" s="116">
        <f>SUM(H8:K8)</f>
        <v>899.8</v>
      </c>
      <c r="M8" s="16">
        <v>234.4</v>
      </c>
      <c r="N8" s="54">
        <v>238.4</v>
      </c>
      <c r="O8" s="54">
        <v>227.8</v>
      </c>
      <c r="P8" s="18">
        <v>234.9</v>
      </c>
      <c r="Q8" s="116">
        <f t="shared" ref="Q8" si="0">SUM(M8:P8)</f>
        <v>935.5</v>
      </c>
      <c r="R8" s="16">
        <v>267.39999999999998</v>
      </c>
      <c r="S8" s="54">
        <v>275.89999999999998</v>
      </c>
      <c r="T8" s="54">
        <v>253.5</v>
      </c>
      <c r="U8" s="18">
        <v>259.5</v>
      </c>
      <c r="V8" s="116">
        <f t="shared" ref="V8" si="1">SUM(R8:U8)</f>
        <v>1056.3</v>
      </c>
      <c r="W8" s="16">
        <v>262.89999999999998</v>
      </c>
      <c r="X8" s="54">
        <v>267</v>
      </c>
      <c r="Y8" s="54">
        <v>267.2</v>
      </c>
      <c r="Z8" s="18">
        <v>269.7</v>
      </c>
      <c r="AA8" s="116">
        <f t="shared" ref="AA8" si="2">SUM(W8:Z8)</f>
        <v>1066.8</v>
      </c>
      <c r="AB8" s="16">
        <v>234.5</v>
      </c>
      <c r="AC8" s="54">
        <v>140.80000000000001</v>
      </c>
      <c r="AD8" s="54">
        <v>242.9</v>
      </c>
      <c r="AE8" s="18">
        <v>273</v>
      </c>
      <c r="AF8" s="116">
        <f t="shared" ref="AF8" si="3">SUM(AB8:AE8)</f>
        <v>891.2</v>
      </c>
      <c r="AG8" s="16">
        <v>257.60000000000002</v>
      </c>
      <c r="AH8" s="54">
        <v>241.7</v>
      </c>
      <c r="AI8" s="54">
        <v>235.6</v>
      </c>
      <c r="AJ8" s="18">
        <v>264</v>
      </c>
      <c r="AK8" s="116">
        <f t="shared" ref="AK8" si="4">SUM(AG8:AJ8)</f>
        <v>998.9</v>
      </c>
      <c r="AL8" s="16">
        <v>264.10000000000002</v>
      </c>
      <c r="AM8" s="54">
        <v>260.10000000000002</v>
      </c>
      <c r="AN8" s="54">
        <v>291.3</v>
      </c>
      <c r="AO8" s="18">
        <v>302.8</v>
      </c>
      <c r="AP8" s="116">
        <f t="shared" ref="AP8" si="5">SUM(AL8:AO8)</f>
        <v>1118.3</v>
      </c>
      <c r="AQ8" s="16">
        <v>320.7</v>
      </c>
      <c r="AR8" s="54">
        <v>321.2</v>
      </c>
      <c r="AS8" s="54">
        <v>319.39999999999998</v>
      </c>
      <c r="AT8" s="18">
        <v>318.5</v>
      </c>
      <c r="AU8" s="116">
        <f t="shared" ref="AU8" si="6">SUM(AQ8:AT8)</f>
        <v>1279.8</v>
      </c>
      <c r="AV8" s="16">
        <v>315.89999999999998</v>
      </c>
      <c r="AW8" s="54">
        <v>319.60000000000002</v>
      </c>
      <c r="AX8" s="54">
        <v>299.89999999999998</v>
      </c>
      <c r="AY8" s="18">
        <v>303.7</v>
      </c>
      <c r="AZ8" s="116">
        <f t="shared" ref="AZ8" si="7">SUM(AV8:AY8)</f>
        <v>1239.0999999999999</v>
      </c>
      <c r="BA8" s="16">
        <v>300.10000000000002</v>
      </c>
      <c r="BB8" s="54">
        <v>304.10000000000002</v>
      </c>
      <c r="BC8" s="54">
        <v>277.5</v>
      </c>
      <c r="BD8" s="18">
        <v>240.7</v>
      </c>
      <c r="BE8" s="116">
        <f t="shared" ref="BE8" si="8">SUM(BA8:BD8)</f>
        <v>1122.4000000000001</v>
      </c>
    </row>
    <row r="9" spans="1:57" s="7" customFormat="1" ht="11.25" x14ac:dyDescent="0.2">
      <c r="A9" s="7" t="s">
        <v>142</v>
      </c>
      <c r="C9" s="19">
        <v>316.7</v>
      </c>
      <c r="D9" s="20">
        <v>352.5</v>
      </c>
      <c r="E9" s="20">
        <v>349.4</v>
      </c>
      <c r="F9" s="21">
        <v>333.8</v>
      </c>
      <c r="G9" s="117">
        <f t="shared" ref="G9" si="9">SUM(C9:F9)</f>
        <v>1352.4</v>
      </c>
      <c r="H9" s="55">
        <v>325</v>
      </c>
      <c r="I9" s="55">
        <v>338.9</v>
      </c>
      <c r="J9" s="55">
        <v>339.8</v>
      </c>
      <c r="K9" s="21">
        <v>325.5</v>
      </c>
      <c r="L9" s="117">
        <f t="shared" ref="L9" si="10">SUM(H9:K9)</f>
        <v>1329.2</v>
      </c>
      <c r="M9" s="19">
        <v>334.8</v>
      </c>
      <c r="N9" s="55">
        <v>362</v>
      </c>
      <c r="O9" s="55">
        <v>361</v>
      </c>
      <c r="P9" s="21">
        <v>345.6</v>
      </c>
      <c r="Q9" s="117">
        <f>SUM(M9:P9)</f>
        <v>1403.4</v>
      </c>
      <c r="R9" s="19">
        <v>333.7</v>
      </c>
      <c r="S9" s="55">
        <v>373.3</v>
      </c>
      <c r="T9" s="55">
        <v>358.3</v>
      </c>
      <c r="U9" s="21">
        <v>352.6</v>
      </c>
      <c r="V9" s="117">
        <f>SUM(R9:U9)</f>
        <v>1417.9</v>
      </c>
      <c r="W9" s="19">
        <v>337.9</v>
      </c>
      <c r="X9" s="55">
        <v>377.8</v>
      </c>
      <c r="Y9" s="55">
        <v>370.7</v>
      </c>
      <c r="Z9" s="21">
        <v>345</v>
      </c>
      <c r="AA9" s="117">
        <f>SUM(W9:Z9)</f>
        <v>1431.4</v>
      </c>
      <c r="AB9" s="19">
        <v>320.39999999999998</v>
      </c>
      <c r="AC9" s="55">
        <v>293.7</v>
      </c>
      <c r="AD9" s="55">
        <v>374.9</v>
      </c>
      <c r="AE9" s="21">
        <v>360.7</v>
      </c>
      <c r="AF9" s="117">
        <f>SUM(AB9:AE9)</f>
        <v>1349.6999999999998</v>
      </c>
      <c r="AG9" s="19">
        <v>357.5</v>
      </c>
      <c r="AH9" s="55">
        <v>419.2</v>
      </c>
      <c r="AI9" s="55">
        <v>419.5</v>
      </c>
      <c r="AJ9" s="21">
        <v>421.6</v>
      </c>
      <c r="AK9" s="117">
        <f>SUM(AG9:AJ9)</f>
        <v>1617.8000000000002</v>
      </c>
      <c r="AL9" s="19">
        <v>418.8</v>
      </c>
      <c r="AM9" s="55">
        <v>461.6</v>
      </c>
      <c r="AN9" s="55">
        <v>421.1</v>
      </c>
      <c r="AO9" s="21">
        <v>370.6</v>
      </c>
      <c r="AP9" s="117">
        <f>SUM(AL9:AO9)</f>
        <v>1672.1</v>
      </c>
      <c r="AQ9" s="19">
        <v>364.4</v>
      </c>
      <c r="AR9" s="55">
        <v>395.6</v>
      </c>
      <c r="AS9" s="55">
        <v>372.7</v>
      </c>
      <c r="AT9" s="21">
        <v>348.1</v>
      </c>
      <c r="AU9" s="117">
        <f>SUM(AQ9:AT9)</f>
        <v>1480.8000000000002</v>
      </c>
      <c r="AV9" s="19">
        <v>333</v>
      </c>
      <c r="AW9" s="55">
        <v>371</v>
      </c>
      <c r="AX9" s="55">
        <v>356.3</v>
      </c>
      <c r="AY9" s="21">
        <v>332.5</v>
      </c>
      <c r="AZ9" s="117">
        <f>SUM(AV9:AY9)</f>
        <v>1392.8</v>
      </c>
      <c r="BA9" s="19">
        <v>331.3</v>
      </c>
      <c r="BB9" s="55">
        <v>362.5</v>
      </c>
      <c r="BC9" s="55">
        <v>356.4</v>
      </c>
      <c r="BD9" s="21">
        <v>324.10000000000002</v>
      </c>
      <c r="BE9" s="117">
        <f>SUM(BA9:BD9)</f>
        <v>1374.2999999999997</v>
      </c>
    </row>
    <row r="10" spans="1:57" s="7" customFormat="1" ht="11.25" x14ac:dyDescent="0.2">
      <c r="A10" s="22" t="s">
        <v>31</v>
      </c>
      <c r="C10" s="26">
        <f>SUM(C7:C9)</f>
        <v>966.2</v>
      </c>
      <c r="D10" s="27">
        <f t="shared" ref="D10:G10" si="11">SUM(D7:D9)</f>
        <v>997.3</v>
      </c>
      <c r="E10" s="27">
        <f t="shared" si="11"/>
        <v>1009.1</v>
      </c>
      <c r="F10" s="28">
        <f t="shared" si="11"/>
        <v>944.59999999999991</v>
      </c>
      <c r="G10" s="118">
        <f t="shared" si="11"/>
        <v>3917.2000000000003</v>
      </c>
      <c r="H10" s="56">
        <f>SUM(H7:H9)</f>
        <v>938.4</v>
      </c>
      <c r="I10" s="56">
        <f t="shared" ref="I10" si="12">SUM(I7:I9)</f>
        <v>958.9</v>
      </c>
      <c r="J10" s="56">
        <f t="shared" ref="J10" si="13">SUM(J7:J9)</f>
        <v>948.89999999999986</v>
      </c>
      <c r="K10" s="28">
        <f t="shared" ref="K10" si="14">SUM(K7:K9)</f>
        <v>903.7</v>
      </c>
      <c r="L10" s="118">
        <f t="shared" ref="L10" si="15">SUM(L7:L9)</f>
        <v>3749.8999999999996</v>
      </c>
      <c r="M10" s="26">
        <f>SUM(M7:M9)</f>
        <v>960.3</v>
      </c>
      <c r="N10" s="56">
        <f t="shared" ref="N10" si="16">SUM(N7:N9)</f>
        <v>989.3</v>
      </c>
      <c r="O10" s="56">
        <f t="shared" ref="O10" si="17">SUM(O7:O9)</f>
        <v>1009.7</v>
      </c>
      <c r="P10" s="56">
        <f t="shared" ref="P10" si="18">SUM(P7:P9)</f>
        <v>984.5</v>
      </c>
      <c r="Q10" s="118">
        <f t="shared" ref="Q10" si="19">SUM(Q7:Q9)</f>
        <v>3943.8</v>
      </c>
      <c r="R10" s="26">
        <f>SUM(R7:R9)</f>
        <v>1028.8</v>
      </c>
      <c r="S10" s="56">
        <f t="shared" ref="S10" si="20">SUM(S7:S9)</f>
        <v>1102.5</v>
      </c>
      <c r="T10" s="56">
        <f t="shared" ref="T10" si="21">SUM(T7:T9)</f>
        <v>1091.5</v>
      </c>
      <c r="U10" s="56">
        <f t="shared" ref="U10" si="22">SUM(U7:U9)</f>
        <v>1046.7</v>
      </c>
      <c r="V10" s="118">
        <f t="shared" ref="V10" si="23">SUM(V7:V9)</f>
        <v>4269.5</v>
      </c>
      <c r="W10" s="26">
        <f>SUM(W7:W9)</f>
        <v>1155.0999999999999</v>
      </c>
      <c r="X10" s="56">
        <f t="shared" ref="X10" si="24">SUM(X7:X9)</f>
        <v>1213.2</v>
      </c>
      <c r="Y10" s="56">
        <f t="shared" ref="Y10" si="25">SUM(Y7:Y9)</f>
        <v>1239.3</v>
      </c>
      <c r="Z10" s="56">
        <f t="shared" ref="Z10" si="26">SUM(Z7:Z9)</f>
        <v>1144.9000000000001</v>
      </c>
      <c r="AA10" s="118">
        <f t="shared" ref="AA10" si="27">SUM(AA7:AA9)</f>
        <v>4752.5</v>
      </c>
      <c r="AB10" s="26">
        <f>SUM(AB7:AB9)</f>
        <v>1045.5</v>
      </c>
      <c r="AC10" s="56">
        <f>SUM(AC7:AC9)</f>
        <v>845.10000000000014</v>
      </c>
      <c r="AD10" s="56">
        <f>SUM(AD7:AD9)</f>
        <v>1207.5999999999999</v>
      </c>
      <c r="AE10" s="56">
        <f>SUM(AE7:AE9)</f>
        <v>1182</v>
      </c>
      <c r="AF10" s="118">
        <f t="shared" ref="AF10" si="28">SUM(AF7:AF9)</f>
        <v>4280.2</v>
      </c>
      <c r="AG10" s="26">
        <f>SUM(AG7:AG9)</f>
        <v>1150.9000000000001</v>
      </c>
      <c r="AH10" s="56">
        <f>SUM(AH7:AH9)</f>
        <v>1269.6000000000001</v>
      </c>
      <c r="AI10" s="56">
        <f>SUM(AI7:AI9)</f>
        <v>1319.2</v>
      </c>
      <c r="AJ10" s="56">
        <f>SUM(AJ7:AJ9)</f>
        <v>1332.9</v>
      </c>
      <c r="AK10" s="118">
        <f t="shared" ref="AK10" si="29">SUM(AK7:AK9)</f>
        <v>5072.6000000000004</v>
      </c>
      <c r="AL10" s="26">
        <f>SUM(AL7:AL9)</f>
        <v>1322.3</v>
      </c>
      <c r="AM10" s="56">
        <f>SUM(AM7:AM9)</f>
        <v>1334.2</v>
      </c>
      <c r="AN10" s="56">
        <f>SUM(AN7:AN9)</f>
        <v>1294.4000000000001</v>
      </c>
      <c r="AO10" s="56">
        <f>SUM(AO7:AO9)</f>
        <v>1195.8000000000002</v>
      </c>
      <c r="AP10" s="118">
        <f t="shared" ref="AP10" si="30">SUM(AP7:AP9)</f>
        <v>5146.7000000000007</v>
      </c>
      <c r="AQ10" s="26">
        <f>SUM(AQ7:AQ9)</f>
        <v>1213.5999999999999</v>
      </c>
      <c r="AR10" s="56">
        <f>SUM(AR7:AR9)</f>
        <v>1221.1999999999998</v>
      </c>
      <c r="AS10" s="56">
        <f>SUM(AS7:AS9)</f>
        <v>1175.4000000000001</v>
      </c>
      <c r="AT10" s="56">
        <f>SUM(AT7:AT9)</f>
        <v>1115.0999999999999</v>
      </c>
      <c r="AU10" s="118">
        <f t="shared" ref="AU10" si="31">SUM(AU7:AU9)</f>
        <v>4725.3</v>
      </c>
      <c r="AV10" s="26">
        <f>SUM(AV7:AV9)</f>
        <v>1096.9000000000001</v>
      </c>
      <c r="AW10" s="56">
        <f>SUM(AW7:AW9)</f>
        <v>1128.5999999999999</v>
      </c>
      <c r="AX10" s="56">
        <f>SUM(AX7:AX9)</f>
        <v>1101.7</v>
      </c>
      <c r="AY10" s="56">
        <f>SUM(AY7:AY9)</f>
        <v>1056.4000000000001</v>
      </c>
      <c r="AZ10" s="118">
        <f t="shared" ref="AZ10" si="32">SUM(AZ7:AZ9)</f>
        <v>4383.6000000000004</v>
      </c>
      <c r="BA10" s="26">
        <f>SUM(BA7:BA9)</f>
        <v>1022.0999999999999</v>
      </c>
      <c r="BB10" s="56">
        <f>SUM(BB7:BB9)</f>
        <v>1058</v>
      </c>
      <c r="BC10" s="56">
        <f>SUM(BC7:BC9)</f>
        <v>1036.4000000000001</v>
      </c>
      <c r="BD10" s="56">
        <f>SUM(BD7:BD9)</f>
        <v>938.6</v>
      </c>
      <c r="BE10" s="118">
        <f t="shared" ref="BE10" si="33">SUM(BE7:BE9)</f>
        <v>4055.1</v>
      </c>
    </row>
    <row r="11" spans="1:57" s="7" customFormat="1" ht="9.9499999999999993" customHeight="1" x14ac:dyDescent="0.2">
      <c r="A11" s="22"/>
      <c r="C11" s="29"/>
      <c r="D11" s="30"/>
      <c r="E11" s="30"/>
      <c r="F11" s="31"/>
      <c r="G11" s="115"/>
      <c r="H11" s="30"/>
      <c r="I11" s="30"/>
      <c r="J11" s="30"/>
      <c r="K11" s="31"/>
      <c r="L11" s="115"/>
      <c r="M11" s="29"/>
      <c r="N11" s="30"/>
      <c r="O11" s="30"/>
      <c r="P11" s="31"/>
      <c r="Q11" s="115"/>
      <c r="R11" s="29"/>
      <c r="S11" s="30"/>
      <c r="T11" s="30"/>
      <c r="U11" s="31"/>
      <c r="V11" s="115"/>
      <c r="W11" s="29"/>
      <c r="X11" s="30"/>
      <c r="Y11" s="30"/>
      <c r="Z11" s="31"/>
      <c r="AA11" s="115"/>
      <c r="AB11" s="29"/>
      <c r="AC11" s="30"/>
      <c r="AD11" s="30"/>
      <c r="AE11" s="31"/>
      <c r="AF11" s="115"/>
      <c r="AG11" s="29"/>
      <c r="AH11" s="30"/>
      <c r="AI11" s="30"/>
      <c r="AJ11" s="31"/>
      <c r="AK11" s="115"/>
      <c r="AL11" s="29"/>
      <c r="AM11" s="30"/>
      <c r="AN11" s="30"/>
      <c r="AO11" s="31"/>
      <c r="AP11" s="115"/>
      <c r="AQ11" s="29"/>
      <c r="AR11" s="30"/>
      <c r="AS11" s="30"/>
      <c r="AT11" s="31"/>
      <c r="AU11" s="115"/>
      <c r="AV11" s="29"/>
      <c r="AW11" s="30"/>
      <c r="AX11" s="30"/>
      <c r="AY11" s="31"/>
      <c r="AZ11" s="115"/>
      <c r="BA11" s="29"/>
      <c r="BB11" s="30"/>
      <c r="BC11" s="30"/>
      <c r="BD11" s="31"/>
      <c r="BE11" s="115"/>
    </row>
    <row r="12" spans="1:57" s="7" customFormat="1" ht="11.25" x14ac:dyDescent="0.2">
      <c r="A12" s="22" t="s">
        <v>65</v>
      </c>
      <c r="C12" s="29"/>
      <c r="D12" s="30"/>
      <c r="E12" s="30"/>
      <c r="F12" s="31"/>
      <c r="G12" s="115"/>
      <c r="H12" s="30"/>
      <c r="I12" s="30"/>
      <c r="J12" s="30"/>
      <c r="K12" s="31"/>
      <c r="L12" s="115"/>
      <c r="M12" s="29"/>
      <c r="N12" s="30"/>
      <c r="O12" s="30"/>
      <c r="P12" s="31"/>
      <c r="Q12" s="115"/>
      <c r="R12" s="29"/>
      <c r="S12" s="30"/>
      <c r="T12" s="30"/>
      <c r="U12" s="31"/>
      <c r="V12" s="115"/>
      <c r="W12" s="29"/>
      <c r="X12" s="30"/>
      <c r="Y12" s="30"/>
      <c r="Z12" s="31"/>
      <c r="AA12" s="115"/>
      <c r="AB12" s="29"/>
      <c r="AC12" s="30"/>
      <c r="AD12" s="30"/>
      <c r="AE12" s="31"/>
      <c r="AF12" s="115"/>
      <c r="AG12" s="29"/>
      <c r="AH12" s="30"/>
      <c r="AI12" s="30"/>
      <c r="AJ12" s="31"/>
      <c r="AK12" s="115"/>
      <c r="AL12" s="29"/>
      <c r="AM12" s="30"/>
      <c r="AN12" s="30"/>
      <c r="AO12" s="31"/>
      <c r="AP12" s="115"/>
      <c r="AQ12" s="29"/>
      <c r="AR12" s="30"/>
      <c r="AS12" s="30"/>
      <c r="AT12" s="31"/>
      <c r="AU12" s="115"/>
      <c r="AV12" s="29"/>
      <c r="AW12" s="30"/>
      <c r="AX12" s="30"/>
      <c r="AY12" s="31"/>
      <c r="AZ12" s="115"/>
      <c r="BA12" s="29"/>
      <c r="BB12" s="30"/>
      <c r="BC12" s="30"/>
      <c r="BD12" s="31"/>
      <c r="BE12" s="115"/>
    </row>
    <row r="13" spans="1:57" s="7" customFormat="1" ht="11.25" x14ac:dyDescent="0.2">
      <c r="A13" s="7" t="s">
        <v>33</v>
      </c>
      <c r="C13" s="32">
        <v>5.6000000000000001E-2</v>
      </c>
      <c r="D13" s="33">
        <v>-7.0000000000000001E-3</v>
      </c>
      <c r="E13" s="33">
        <v>-7.0000000000000001E-3</v>
      </c>
      <c r="F13" s="34">
        <v>-2.4E-2</v>
      </c>
      <c r="G13" s="119">
        <v>3.0000000000000001E-3</v>
      </c>
      <c r="H13" s="33">
        <v>-1.2999999999999999E-2</v>
      </c>
      <c r="I13" s="33">
        <v>-1.0999999999999999E-2</v>
      </c>
      <c r="J13" s="33">
        <v>-2.3E-2</v>
      </c>
      <c r="K13" s="34">
        <v>-1.0999999999999999E-2</v>
      </c>
      <c r="L13" s="119">
        <v>-1.4E-2</v>
      </c>
      <c r="M13" s="32">
        <v>3.85E-2</v>
      </c>
      <c r="N13" s="33">
        <v>3.6499999999999998E-2</v>
      </c>
      <c r="O13" s="33">
        <v>6.1699999999999998E-2</v>
      </c>
      <c r="P13" s="34">
        <v>0.09</v>
      </c>
      <c r="Q13" s="119">
        <v>5.6300000000000003E-2</v>
      </c>
      <c r="R13" s="32">
        <v>5.6800000000000003E-2</v>
      </c>
      <c r="S13" s="33">
        <v>0.1</v>
      </c>
      <c r="T13" s="33">
        <v>5.8000000000000003E-2</v>
      </c>
      <c r="U13" s="34">
        <v>3.4000000000000002E-2</v>
      </c>
      <c r="V13" s="119">
        <v>6.2E-2</v>
      </c>
      <c r="W13" s="32">
        <v>-6.0000000000000001E-3</v>
      </c>
      <c r="X13" s="33">
        <v>-5.6000000000000001E-2</v>
      </c>
      <c r="Y13" s="33">
        <v>-2.1999999999999999E-2</v>
      </c>
      <c r="Z13" s="34">
        <v>-4.1000000000000002E-2</v>
      </c>
      <c r="AA13" s="119">
        <v>-3.1E-2</v>
      </c>
      <c r="AB13" s="32">
        <v>-0.11899999999999999</v>
      </c>
      <c r="AC13" s="33">
        <v>-0.312</v>
      </c>
      <c r="AD13" s="33">
        <v>-3.3000000000000002E-2</v>
      </c>
      <c r="AE13" s="34">
        <v>3.5999999999999997E-2</v>
      </c>
      <c r="AF13" s="119">
        <v>-0.108</v>
      </c>
      <c r="AG13" s="32">
        <v>0.111</v>
      </c>
      <c r="AH13" s="33">
        <v>0.502</v>
      </c>
      <c r="AI13" s="33">
        <v>8.4000000000000005E-2</v>
      </c>
      <c r="AJ13" s="34">
        <v>0.11</v>
      </c>
      <c r="AK13" s="120">
        <v>0.18099999999999999</v>
      </c>
      <c r="AL13" s="32">
        <v>0.13500000000000001</v>
      </c>
      <c r="AM13" s="33">
        <v>4.5999999999999999E-2</v>
      </c>
      <c r="AN13" s="33">
        <v>-2.5999999999999999E-2</v>
      </c>
      <c r="AO13" s="34">
        <v>-0.124</v>
      </c>
      <c r="AP13" s="120">
        <v>3.0000000000000001E-3</v>
      </c>
      <c r="AQ13" s="32">
        <v>-0.113</v>
      </c>
      <c r="AR13" s="33">
        <v>-0.115</v>
      </c>
      <c r="AS13" s="33">
        <v>-0.114</v>
      </c>
      <c r="AT13" s="34">
        <v>-7.1999999999999995E-2</v>
      </c>
      <c r="AU13" s="120">
        <v>-0.104</v>
      </c>
      <c r="AV13" s="32">
        <v>-9.6000000000000002E-2</v>
      </c>
      <c r="AW13" s="33">
        <v>-7.5999999999999998E-2</v>
      </c>
      <c r="AX13" s="33">
        <v>-6.3E-2</v>
      </c>
      <c r="AY13" s="34">
        <v>-5.2999999999999999E-2</v>
      </c>
      <c r="AZ13" s="120">
        <v>-7.1999999999999995E-2</v>
      </c>
      <c r="BA13" s="32">
        <v>-6.6000000000000003E-2</v>
      </c>
      <c r="BB13" s="33">
        <v>-0.06</v>
      </c>
      <c r="BC13" s="33">
        <v>-4.1000000000000002E-2</v>
      </c>
      <c r="BD13" s="34">
        <v>-0.06</v>
      </c>
      <c r="BE13" s="120">
        <v>-5.5E-2</v>
      </c>
    </row>
    <row r="14" spans="1:57" s="7" customFormat="1" ht="11.25" x14ac:dyDescent="0.2">
      <c r="A14" s="7" t="s">
        <v>66</v>
      </c>
      <c r="C14" s="32">
        <v>4.8000000000000001E-2</v>
      </c>
      <c r="D14" s="33">
        <v>0.05</v>
      </c>
      <c r="E14" s="33">
        <v>1.9E-2</v>
      </c>
      <c r="F14" s="34">
        <v>1.6E-2</v>
      </c>
      <c r="G14" s="119">
        <v>3.3000000000000002E-2</v>
      </c>
      <c r="H14" s="33">
        <v>1.2E-2</v>
      </c>
      <c r="I14" s="33">
        <v>4.0000000000000001E-3</v>
      </c>
      <c r="J14" s="33">
        <v>5.0000000000000001E-3</v>
      </c>
      <c r="K14" s="34">
        <v>7.0000000000000001E-3</v>
      </c>
      <c r="L14" s="119">
        <v>7.0000000000000001E-3</v>
      </c>
      <c r="M14" s="32">
        <v>1.14E-2</v>
      </c>
      <c r="N14" s="33">
        <v>1.7100000000000001E-2</v>
      </c>
      <c r="O14" s="33">
        <v>1.8599999999999998E-2</v>
      </c>
      <c r="P14" s="34">
        <v>1.8800000000000001E-2</v>
      </c>
      <c r="Q14" s="119">
        <v>1.7000000000000001E-2</v>
      </c>
      <c r="R14" s="32">
        <v>2.35E-2</v>
      </c>
      <c r="S14" s="33">
        <v>2.8000000000000001E-2</v>
      </c>
      <c r="T14" s="33">
        <v>2.7E-2</v>
      </c>
      <c r="U14" s="34">
        <v>2.9000000000000001E-2</v>
      </c>
      <c r="V14" s="119">
        <v>2.7E-2</v>
      </c>
      <c r="W14" s="32">
        <v>0.129</v>
      </c>
      <c r="X14" s="33">
        <v>0.156</v>
      </c>
      <c r="Y14" s="33">
        <v>0.15739807604214384</v>
      </c>
      <c r="Z14" s="34">
        <v>0.13400000000000001</v>
      </c>
      <c r="AA14" s="119">
        <v>0.14399999999999999</v>
      </c>
      <c r="AB14" s="32">
        <v>2.4E-2</v>
      </c>
      <c r="AC14" s="33">
        <v>8.9999999999999993E-3</v>
      </c>
      <c r="AD14" s="33">
        <v>0.01</v>
      </c>
      <c r="AE14" s="34">
        <v>4.7000000000000002E-3</v>
      </c>
      <c r="AF14" s="119">
        <v>1.2E-2</v>
      </c>
      <c r="AG14" s="32">
        <v>2E-3</v>
      </c>
      <c r="AH14" s="33">
        <v>0.01</v>
      </c>
      <c r="AI14" s="33">
        <v>1.7999999999999999E-2</v>
      </c>
      <c r="AJ14" s="34">
        <v>0.02</v>
      </c>
      <c r="AK14" s="120">
        <v>1.2999999999999999E-2</v>
      </c>
      <c r="AL14" s="32">
        <v>1.7999999999999999E-2</v>
      </c>
      <c r="AM14" s="33">
        <v>0.01</v>
      </c>
      <c r="AN14" s="33">
        <v>8.9999999999999993E-3</v>
      </c>
      <c r="AO14" s="34">
        <v>2.3E-2</v>
      </c>
      <c r="AP14" s="120">
        <v>1.4999999999999999E-2</v>
      </c>
      <c r="AQ14" s="32">
        <v>3.1E-2</v>
      </c>
      <c r="AR14" s="33">
        <v>0.03</v>
      </c>
      <c r="AS14" s="33">
        <v>2.1999999999999999E-2</v>
      </c>
      <c r="AT14" s="34">
        <v>5.0000000000000001E-3</v>
      </c>
      <c r="AU14" s="120">
        <v>2.1999999999999999E-2</v>
      </c>
      <c r="AV14" s="32">
        <v>0</v>
      </c>
      <c r="AW14" s="33">
        <v>0</v>
      </c>
      <c r="AX14" s="33">
        <v>0</v>
      </c>
      <c r="AY14" s="34">
        <v>0</v>
      </c>
      <c r="AZ14" s="120">
        <v>0</v>
      </c>
      <c r="BA14" s="32">
        <v>0</v>
      </c>
      <c r="BB14" s="33">
        <v>0</v>
      </c>
      <c r="BC14" s="33">
        <v>0</v>
      </c>
      <c r="BD14" s="34">
        <v>0</v>
      </c>
      <c r="BE14" s="120">
        <v>0</v>
      </c>
    </row>
    <row r="15" spans="1:57" s="7" customFormat="1" ht="11.25" x14ac:dyDescent="0.2">
      <c r="A15" s="7" t="s">
        <v>67</v>
      </c>
      <c r="C15" s="32">
        <v>0</v>
      </c>
      <c r="D15" s="33">
        <v>0</v>
      </c>
      <c r="E15" s="33">
        <v>0</v>
      </c>
      <c r="F15" s="34">
        <v>-1E-3</v>
      </c>
      <c r="G15" s="119">
        <v>0</v>
      </c>
      <c r="H15" s="33">
        <v>-2.8000000000000001E-2</v>
      </c>
      <c r="I15" s="33">
        <v>-3.2000000000000001E-2</v>
      </c>
      <c r="J15" s="33">
        <v>-4.2000000000000003E-2</v>
      </c>
      <c r="K15" s="34">
        <v>-3.9E-2</v>
      </c>
      <c r="L15" s="119">
        <v>-3.5999999999999997E-2</v>
      </c>
      <c r="M15" s="32">
        <v>-2.6599999999999999E-2</v>
      </c>
      <c r="N15" s="33">
        <v>-2.1999999999999999E-2</v>
      </c>
      <c r="O15" s="33">
        <v>-1.67E-2</v>
      </c>
      <c r="P15" s="34">
        <v>-1.9699999999999999E-2</v>
      </c>
      <c r="Q15" s="119">
        <v>-2.1000000000000001E-2</v>
      </c>
      <c r="R15" s="32">
        <v>-8.9999999999999993E-3</v>
      </c>
      <c r="S15" s="33">
        <v>-1.4E-2</v>
      </c>
      <c r="T15" s="33">
        <v>-4.0000000000000001E-3</v>
      </c>
      <c r="U15" s="34">
        <v>0</v>
      </c>
      <c r="V15" s="119">
        <v>-6.0000000000000001E-3</v>
      </c>
      <c r="W15" s="32">
        <v>0</v>
      </c>
      <c r="X15" s="33">
        <v>0</v>
      </c>
      <c r="Y15" s="33">
        <v>0</v>
      </c>
      <c r="Z15" s="34">
        <v>0</v>
      </c>
      <c r="AA15" s="119">
        <v>0</v>
      </c>
      <c r="AB15" s="32">
        <v>0</v>
      </c>
      <c r="AC15" s="33">
        <v>0</v>
      </c>
      <c r="AD15" s="33">
        <v>-3.0000000000000001E-3</v>
      </c>
      <c r="AE15" s="34">
        <v>-8.5000000000000006E-3</v>
      </c>
      <c r="AF15" s="119">
        <v>-3.0000000000000001E-3</v>
      </c>
      <c r="AG15" s="32">
        <v>-1.0999999999999999E-2</v>
      </c>
      <c r="AH15" s="33">
        <v>-0.01</v>
      </c>
      <c r="AI15" s="33">
        <v>-0.01</v>
      </c>
      <c r="AJ15" s="34">
        <v>-2E-3</v>
      </c>
      <c r="AK15" s="120">
        <v>-8.9999999999999993E-3</v>
      </c>
      <c r="AL15" s="32">
        <v>-4.0000000000000001E-3</v>
      </c>
      <c r="AM15" s="33">
        <v>-5.0000000000000001E-3</v>
      </c>
      <c r="AN15" s="33">
        <v>-2E-3</v>
      </c>
      <c r="AO15" s="33">
        <v>-2E-3</v>
      </c>
      <c r="AP15" s="120">
        <v>-3.0000000000000001E-3</v>
      </c>
      <c r="AQ15" s="32">
        <v>0</v>
      </c>
      <c r="AR15" s="33">
        <v>0</v>
      </c>
      <c r="AS15" s="33">
        <v>0</v>
      </c>
      <c r="AT15" s="33">
        <v>0</v>
      </c>
      <c r="AU15" s="120">
        <v>0</v>
      </c>
      <c r="AV15" s="32">
        <v>0</v>
      </c>
      <c r="AW15" s="33">
        <v>0</v>
      </c>
      <c r="AX15" s="33">
        <v>0</v>
      </c>
      <c r="AY15" s="33">
        <v>0</v>
      </c>
      <c r="AZ15" s="120">
        <v>0</v>
      </c>
      <c r="BA15" s="32">
        <v>-2E-3</v>
      </c>
      <c r="BB15" s="33">
        <v>-3.0000000000000001E-3</v>
      </c>
      <c r="BC15" s="33">
        <v>-1.7999999999999999E-2</v>
      </c>
      <c r="BD15" s="33">
        <v>-5.0999999999999997E-2</v>
      </c>
      <c r="BE15" s="120">
        <v>-0.02</v>
      </c>
    </row>
    <row r="16" spans="1:57" s="7" customFormat="1" ht="11.25" x14ac:dyDescent="0.2">
      <c r="A16" s="22" t="s">
        <v>31</v>
      </c>
      <c r="C16" s="32">
        <f t="shared" ref="C16:F16" si="34">SUM(C13:C15)</f>
        <v>0.10400000000000001</v>
      </c>
      <c r="D16" s="33">
        <f t="shared" si="34"/>
        <v>4.3000000000000003E-2</v>
      </c>
      <c r="E16" s="33">
        <f t="shared" si="34"/>
        <v>1.2E-2</v>
      </c>
      <c r="F16" s="34">
        <f t="shared" si="34"/>
        <v>-9.0000000000000011E-3</v>
      </c>
      <c r="G16" s="119">
        <f>SUM(G13:G15)</f>
        <v>3.6000000000000004E-2</v>
      </c>
      <c r="H16" s="33">
        <f t="shared" ref="H16:K16" si="35">SUM(H13:H15)</f>
        <v>-2.8999999999999998E-2</v>
      </c>
      <c r="I16" s="33">
        <f t="shared" si="35"/>
        <v>-3.9E-2</v>
      </c>
      <c r="J16" s="33">
        <f t="shared" si="35"/>
        <v>-0.06</v>
      </c>
      <c r="K16" s="34">
        <f t="shared" si="35"/>
        <v>-4.2999999999999997E-2</v>
      </c>
      <c r="L16" s="119">
        <f>SUM(L13:L15)</f>
        <v>-4.2999999999999997E-2</v>
      </c>
      <c r="M16" s="32">
        <f t="shared" ref="M16:Z16" si="36">SUM(M13:M15)</f>
        <v>2.3300000000000001E-2</v>
      </c>
      <c r="N16" s="33">
        <f t="shared" si="36"/>
        <v>3.1599999999999996E-2</v>
      </c>
      <c r="O16" s="33">
        <f t="shared" si="36"/>
        <v>6.359999999999999E-2</v>
      </c>
      <c r="P16" s="33">
        <f t="shared" si="36"/>
        <v>8.9099999999999999E-2</v>
      </c>
      <c r="Q16" s="119">
        <f t="shared" si="36"/>
        <v>5.2299999999999999E-2</v>
      </c>
      <c r="R16" s="32">
        <f t="shared" si="36"/>
        <v>7.1300000000000016E-2</v>
      </c>
      <c r="S16" s="33">
        <f t="shared" si="36"/>
        <v>0.114</v>
      </c>
      <c r="T16" s="33">
        <f t="shared" si="36"/>
        <v>8.1000000000000003E-2</v>
      </c>
      <c r="U16" s="33">
        <f t="shared" si="36"/>
        <v>6.3E-2</v>
      </c>
      <c r="V16" s="119">
        <f t="shared" si="36"/>
        <v>8.299999999999999E-2</v>
      </c>
      <c r="W16" s="32">
        <f t="shared" si="36"/>
        <v>0.123</v>
      </c>
      <c r="X16" s="33">
        <f t="shared" si="36"/>
        <v>0.1</v>
      </c>
      <c r="Y16" s="33">
        <f t="shared" si="36"/>
        <v>0.13539807604214385</v>
      </c>
      <c r="Z16" s="33">
        <f t="shared" si="36"/>
        <v>9.2999999999999999E-2</v>
      </c>
      <c r="AA16" s="119">
        <f>SUM(AA13:AA15)</f>
        <v>0.11299999999999999</v>
      </c>
      <c r="AB16" s="32">
        <f t="shared" ref="AB16" si="37">SUM(AB13:AB15)</f>
        <v>-9.5000000000000001E-2</v>
      </c>
      <c r="AC16" s="33">
        <f t="shared" ref="AC16:AE16" si="38">SUM(AC13:AC15)</f>
        <v>-0.30299999999999999</v>
      </c>
      <c r="AD16" s="33">
        <f t="shared" si="38"/>
        <v>-2.5999999999999999E-2</v>
      </c>
      <c r="AE16" s="33">
        <f t="shared" si="38"/>
        <v>3.2199999999999999E-2</v>
      </c>
      <c r="AF16" s="119">
        <f t="shared" ref="AF16:AM16" si="39">SUM(AF13:AF15)</f>
        <v>-9.9000000000000005E-2</v>
      </c>
      <c r="AG16" s="32">
        <f t="shared" si="39"/>
        <v>0.10200000000000001</v>
      </c>
      <c r="AH16" s="33">
        <f t="shared" si="39"/>
        <v>0.502</v>
      </c>
      <c r="AI16" s="33">
        <f t="shared" si="39"/>
        <v>9.2000000000000012E-2</v>
      </c>
      <c r="AJ16" s="33">
        <f t="shared" si="39"/>
        <v>0.128</v>
      </c>
      <c r="AK16" s="120">
        <f t="shared" si="39"/>
        <v>0.185</v>
      </c>
      <c r="AL16" s="33">
        <f t="shared" si="39"/>
        <v>0.14899999999999999</v>
      </c>
      <c r="AM16" s="33">
        <f t="shared" si="39"/>
        <v>5.1000000000000004E-2</v>
      </c>
      <c r="AN16" s="33">
        <f>SUM(AN13:AN15)</f>
        <v>-1.9000000000000003E-2</v>
      </c>
      <c r="AO16" s="33">
        <f>SUM(AO13:AO15)</f>
        <v>-0.10300000000000001</v>
      </c>
      <c r="AP16" s="120">
        <f>SUM(AP13:AP15)</f>
        <v>1.4999999999999999E-2</v>
      </c>
      <c r="AQ16" s="33">
        <f t="shared" ref="AQ16" si="40">SUM(AQ13:AQ15)</f>
        <v>-8.2000000000000003E-2</v>
      </c>
      <c r="AR16" s="33">
        <f t="shared" ref="AR16" si="41">SUM(AR13:AR15)</f>
        <v>-8.5000000000000006E-2</v>
      </c>
      <c r="AS16" s="33">
        <f>SUM(AS13:AS15)</f>
        <v>-9.1999999999999998E-2</v>
      </c>
      <c r="AT16" s="33">
        <f>SUM(AT13:AT15)</f>
        <v>-6.699999999999999E-2</v>
      </c>
      <c r="AU16" s="120">
        <f>SUM(AU13:AU15)</f>
        <v>-8.199999999999999E-2</v>
      </c>
      <c r="AV16" s="33">
        <f t="shared" ref="AV16" si="42">SUM(AV13:AV15)</f>
        <v>-9.6000000000000002E-2</v>
      </c>
      <c r="AW16" s="33">
        <f t="shared" ref="AW16" si="43">SUM(AW13:AW15)</f>
        <v>-7.5999999999999998E-2</v>
      </c>
      <c r="AX16" s="33">
        <f>SUM(AX13:AX15)</f>
        <v>-6.3E-2</v>
      </c>
      <c r="AY16" s="33">
        <f>SUM(AY13:AY15)</f>
        <v>-5.2999999999999999E-2</v>
      </c>
      <c r="AZ16" s="120">
        <f>SUM(AZ13:AZ15)</f>
        <v>-7.1999999999999995E-2</v>
      </c>
      <c r="BA16" s="33">
        <f t="shared" ref="BA16:BB16" si="44">SUM(BA13:BA15)</f>
        <v>-6.8000000000000005E-2</v>
      </c>
      <c r="BB16" s="33">
        <f t="shared" si="44"/>
        <v>-6.3E-2</v>
      </c>
      <c r="BC16" s="33">
        <f>SUM(BC13:BC15)</f>
        <v>-5.8999999999999997E-2</v>
      </c>
      <c r="BD16" s="33">
        <f>SUM(BD13:BD15)</f>
        <v>-0.11099999999999999</v>
      </c>
      <c r="BE16" s="120">
        <f>SUM(BE13:BE15)</f>
        <v>-7.4999999999999997E-2</v>
      </c>
    </row>
    <row r="17" spans="1:60" s="7" customFormat="1" ht="9.9499999999999993" customHeight="1" thickBot="1" x14ac:dyDescent="0.25">
      <c r="A17" s="22"/>
      <c r="C17" s="32"/>
      <c r="D17" s="33"/>
      <c r="E17" s="33"/>
      <c r="F17" s="34"/>
      <c r="G17" s="115"/>
      <c r="H17" s="33"/>
      <c r="I17" s="33"/>
      <c r="J17" s="33"/>
      <c r="K17" s="34"/>
      <c r="L17" s="115"/>
      <c r="M17" s="32"/>
      <c r="N17" s="33"/>
      <c r="O17" s="33"/>
      <c r="P17" s="34"/>
      <c r="Q17" s="115"/>
      <c r="R17" s="32"/>
      <c r="S17" s="33"/>
      <c r="T17" s="33"/>
      <c r="U17" s="34"/>
      <c r="V17" s="115"/>
      <c r="W17" s="32"/>
      <c r="X17" s="33"/>
      <c r="Y17" s="33"/>
      <c r="Z17" s="34"/>
      <c r="AA17" s="115"/>
      <c r="AB17" s="32"/>
      <c r="AC17" s="33"/>
      <c r="AD17" s="33"/>
      <c r="AE17" s="34"/>
      <c r="AF17" s="115"/>
      <c r="AG17" s="32"/>
      <c r="AH17" s="33"/>
      <c r="AI17" s="33"/>
      <c r="AJ17" s="34"/>
      <c r="AK17" s="115"/>
      <c r="AL17" s="32"/>
      <c r="AM17" s="33"/>
      <c r="AN17" s="33"/>
      <c r="AO17" s="34"/>
      <c r="AP17" s="115"/>
      <c r="AQ17" s="32"/>
      <c r="AR17" s="33"/>
      <c r="AS17" s="33"/>
      <c r="AT17" s="34"/>
      <c r="AU17" s="115"/>
      <c r="AV17" s="32"/>
      <c r="AW17" s="33"/>
      <c r="AX17" s="33"/>
      <c r="AY17" s="34"/>
      <c r="AZ17" s="115"/>
      <c r="BA17" s="32"/>
      <c r="BB17" s="33"/>
      <c r="BC17" s="33"/>
      <c r="BD17" s="34"/>
      <c r="BE17" s="115"/>
    </row>
    <row r="18" spans="1:60" s="7" customFormat="1" ht="12" thickBot="1" x14ac:dyDescent="0.25">
      <c r="A18" s="13" t="s">
        <v>68</v>
      </c>
      <c r="C18" s="14"/>
      <c r="F18" s="15"/>
      <c r="G18" s="115"/>
      <c r="K18" s="15"/>
      <c r="L18" s="115"/>
      <c r="M18" s="14"/>
      <c r="P18" s="15"/>
      <c r="Q18" s="115"/>
      <c r="R18" s="14"/>
      <c r="U18" s="15"/>
      <c r="V18" s="115"/>
      <c r="W18" s="14"/>
      <c r="Z18" s="15"/>
      <c r="AA18" s="115"/>
      <c r="AB18" s="14"/>
      <c r="AE18" s="15"/>
      <c r="AF18" s="115"/>
      <c r="AG18" s="14"/>
      <c r="AJ18" s="15"/>
      <c r="AK18" s="115"/>
      <c r="AL18" s="14"/>
      <c r="AO18" s="15"/>
      <c r="AP18" s="115"/>
      <c r="AQ18" s="14"/>
      <c r="AT18" s="15"/>
      <c r="AU18" s="115"/>
      <c r="AV18" s="14"/>
      <c r="AY18" s="15"/>
      <c r="AZ18" s="115"/>
      <c r="BA18" s="14"/>
      <c r="BD18" s="15"/>
      <c r="BE18" s="115"/>
    </row>
    <row r="19" spans="1:60" s="7" customFormat="1" ht="11.25" x14ac:dyDescent="0.2">
      <c r="A19" s="7" t="s">
        <v>141</v>
      </c>
      <c r="C19" s="16">
        <v>460.2</v>
      </c>
      <c r="D19" s="17">
        <v>443.4</v>
      </c>
      <c r="E19" s="17">
        <v>463.6</v>
      </c>
      <c r="F19" s="18">
        <v>412.8</v>
      </c>
      <c r="G19" s="116">
        <f>SUM(C19:F19)</f>
        <v>1779.9999999999998</v>
      </c>
      <c r="H19" s="54">
        <v>405.6</v>
      </c>
      <c r="I19" s="54">
        <v>394.8</v>
      </c>
      <c r="J19" s="54">
        <v>399.7</v>
      </c>
      <c r="K19" s="18">
        <v>363.8</v>
      </c>
      <c r="L19" s="116">
        <f>SUM(H19:K19)</f>
        <v>1563.9</v>
      </c>
      <c r="M19" s="16">
        <v>403.1</v>
      </c>
      <c r="N19" s="54">
        <v>399.9</v>
      </c>
      <c r="O19" s="54">
        <v>431.6</v>
      </c>
      <c r="P19" s="18">
        <v>415.8</v>
      </c>
      <c r="Q19" s="116">
        <f>SUM(M19:P19)</f>
        <v>1650.3999999999999</v>
      </c>
      <c r="R19" s="16">
        <v>439.2</v>
      </c>
      <c r="S19" s="54">
        <v>465.2</v>
      </c>
      <c r="T19" s="54">
        <v>490.2</v>
      </c>
      <c r="U19" s="18">
        <v>447.3</v>
      </c>
      <c r="V19" s="116">
        <f>SUM(R19:U19)</f>
        <v>1841.8999999999999</v>
      </c>
      <c r="W19" s="16">
        <v>564.5</v>
      </c>
      <c r="X19" s="54">
        <v>578.6</v>
      </c>
      <c r="Y19" s="54">
        <v>612.20000000000005</v>
      </c>
      <c r="Z19" s="18">
        <v>540.29999999999995</v>
      </c>
      <c r="AA19" s="116">
        <f>SUM(W19:Z19)</f>
        <v>2295.6</v>
      </c>
      <c r="AB19" s="16">
        <v>500.2</v>
      </c>
      <c r="AC19" s="54">
        <v>414.6</v>
      </c>
      <c r="AD19" s="54">
        <v>599.79999999999995</v>
      </c>
      <c r="AE19" s="140">
        <v>556.9</v>
      </c>
      <c r="AF19" s="142">
        <f>SUM(AB19:AE19)</f>
        <v>2071.5</v>
      </c>
      <c r="AG19" s="16">
        <v>545.79999999999995</v>
      </c>
      <c r="AH19" s="150">
        <v>619.70000000000005</v>
      </c>
      <c r="AI19" s="150">
        <v>675.5</v>
      </c>
      <c r="AJ19" s="140">
        <v>659</v>
      </c>
      <c r="AK19" s="142">
        <f>SUM(AG19:AJ19)</f>
        <v>2500</v>
      </c>
      <c r="AL19" s="16">
        <v>651.4</v>
      </c>
      <c r="AM19" s="150">
        <v>623.9</v>
      </c>
      <c r="AN19" s="150">
        <v>590.79999999999995</v>
      </c>
      <c r="AO19" s="140">
        <v>530.70000000000005</v>
      </c>
      <c r="AP19" s="142">
        <f>SUM(AL19:AO19)</f>
        <v>2396.8000000000002</v>
      </c>
      <c r="AQ19" s="16">
        <v>538.1</v>
      </c>
      <c r="AR19" s="150">
        <v>512.9</v>
      </c>
      <c r="AS19" s="150">
        <v>490.7</v>
      </c>
      <c r="AT19" s="140">
        <v>454.9</v>
      </c>
      <c r="AU19" s="142">
        <f>SUM(AQ19:AT19)</f>
        <v>1996.6</v>
      </c>
      <c r="AV19" s="16">
        <v>454.4</v>
      </c>
      <c r="AW19" s="150">
        <v>444.5</v>
      </c>
      <c r="AX19" s="150">
        <v>451.6</v>
      </c>
      <c r="AY19" s="140">
        <v>426.2</v>
      </c>
      <c r="AZ19" s="142">
        <f>SUM(AV19:AY19)</f>
        <v>1776.7</v>
      </c>
      <c r="BA19" s="16">
        <v>395.9</v>
      </c>
      <c r="BB19" s="150">
        <v>396.6</v>
      </c>
      <c r="BC19" s="150">
        <v>407.5</v>
      </c>
      <c r="BD19" s="140">
        <v>379.4</v>
      </c>
      <c r="BE19" s="142">
        <f>SUM(BA19:BD19)</f>
        <v>1579.4</v>
      </c>
      <c r="BG19" s="152"/>
      <c r="BH19" s="152"/>
    </row>
    <row r="20" spans="1:60" s="7" customFormat="1" ht="11.25" x14ac:dyDescent="0.2">
      <c r="A20" s="7" t="s">
        <v>30</v>
      </c>
      <c r="C20" s="16">
        <v>205.3</v>
      </c>
      <c r="D20" s="17">
        <v>216.3</v>
      </c>
      <c r="E20" s="17">
        <v>212.19999999999993</v>
      </c>
      <c r="F20" s="18">
        <v>213.4</v>
      </c>
      <c r="G20" s="116">
        <f>SUM(C20:F20)</f>
        <v>847.19999999999993</v>
      </c>
      <c r="H20" s="54">
        <v>221.5</v>
      </c>
      <c r="I20" s="54">
        <v>237.2</v>
      </c>
      <c r="J20" s="54">
        <v>221.2</v>
      </c>
      <c r="K20" s="18">
        <v>226.39999999999998</v>
      </c>
      <c r="L20" s="116">
        <f>SUM(H20:K20)</f>
        <v>906.3</v>
      </c>
      <c r="M20" s="16">
        <v>236.3</v>
      </c>
      <c r="N20" s="54">
        <v>240.1</v>
      </c>
      <c r="O20" s="54">
        <v>229.7</v>
      </c>
      <c r="P20" s="18">
        <v>236.5</v>
      </c>
      <c r="Q20" s="116">
        <f>SUM(M20:P20)</f>
        <v>942.59999999999991</v>
      </c>
      <c r="R20" s="16">
        <v>268.10000000000002</v>
      </c>
      <c r="S20" s="54">
        <v>276.5</v>
      </c>
      <c r="T20" s="54">
        <v>254.2</v>
      </c>
      <c r="U20" s="18">
        <v>260.2</v>
      </c>
      <c r="V20" s="116">
        <f>SUM(R20:U20)</f>
        <v>1059</v>
      </c>
      <c r="W20" s="16">
        <v>263.8</v>
      </c>
      <c r="X20" s="54">
        <v>267.7</v>
      </c>
      <c r="Y20" s="54">
        <v>268.10000000000002</v>
      </c>
      <c r="Z20" s="18">
        <v>270.39999999999998</v>
      </c>
      <c r="AA20" s="116">
        <f>SUM(W20:Z20)</f>
        <v>1070</v>
      </c>
      <c r="AB20" s="16">
        <v>235.3</v>
      </c>
      <c r="AC20" s="54">
        <v>141.19999999999999</v>
      </c>
      <c r="AD20" s="54">
        <v>243.7</v>
      </c>
      <c r="AE20" s="140">
        <v>273.8</v>
      </c>
      <c r="AF20" s="142">
        <f>SUM(AB20:AE20)</f>
        <v>894</v>
      </c>
      <c r="AG20" s="16">
        <v>258.5</v>
      </c>
      <c r="AH20" s="150">
        <v>242.4</v>
      </c>
      <c r="AI20" s="150">
        <v>236.6</v>
      </c>
      <c r="AJ20" s="140">
        <v>265</v>
      </c>
      <c r="AK20" s="142">
        <f>SUM(AG20:AJ20)</f>
        <v>1002.5</v>
      </c>
      <c r="AL20" s="16">
        <v>265</v>
      </c>
      <c r="AM20" s="150">
        <v>260.5</v>
      </c>
      <c r="AN20" s="150">
        <v>291.8</v>
      </c>
      <c r="AO20" s="140">
        <v>303.2</v>
      </c>
      <c r="AP20" s="142">
        <f>SUM(AL20:AO20)</f>
        <v>1120.5</v>
      </c>
      <c r="AQ20" s="16">
        <v>321.10000000000002</v>
      </c>
      <c r="AR20" s="150">
        <v>321.7</v>
      </c>
      <c r="AS20" s="150">
        <v>319.7</v>
      </c>
      <c r="AT20" s="140">
        <v>318.8</v>
      </c>
      <c r="AU20" s="142">
        <f>SUM(AQ20:AT20)</f>
        <v>1281.3</v>
      </c>
      <c r="AV20" s="16">
        <v>316.3</v>
      </c>
      <c r="AW20" s="150">
        <v>320.89999999999998</v>
      </c>
      <c r="AX20" s="150">
        <v>301.39999999999998</v>
      </c>
      <c r="AY20" s="140">
        <v>303.8</v>
      </c>
      <c r="AZ20" s="142">
        <f>SUM(AV20:AY20)</f>
        <v>1242.4000000000001</v>
      </c>
      <c r="BA20" s="16">
        <v>300.3</v>
      </c>
      <c r="BB20" s="150">
        <v>304.2</v>
      </c>
      <c r="BC20" s="150">
        <v>278.10000000000002</v>
      </c>
      <c r="BD20" s="140">
        <v>241.4</v>
      </c>
      <c r="BE20" s="142">
        <f>SUM(BA20:BD20)</f>
        <v>1124</v>
      </c>
      <c r="BG20" s="152"/>
      <c r="BH20" s="152"/>
    </row>
    <row r="21" spans="1:60" s="7" customFormat="1" ht="11.25" x14ac:dyDescent="0.2">
      <c r="A21" s="7" t="s">
        <v>142</v>
      </c>
      <c r="C21" s="19">
        <v>324.7</v>
      </c>
      <c r="D21" s="20">
        <v>359.7</v>
      </c>
      <c r="E21" s="20">
        <v>355.7</v>
      </c>
      <c r="F21" s="21">
        <v>339</v>
      </c>
      <c r="G21" s="117">
        <f t="shared" ref="G21" si="45">SUM(C21:F21)</f>
        <v>1379.1</v>
      </c>
      <c r="H21" s="55">
        <v>331</v>
      </c>
      <c r="I21" s="55">
        <v>344.1</v>
      </c>
      <c r="J21" s="55">
        <v>344.4</v>
      </c>
      <c r="K21" s="21">
        <v>331.5</v>
      </c>
      <c r="L21" s="117">
        <f t="shared" ref="L21" si="46">SUM(H21:K21)</f>
        <v>1351</v>
      </c>
      <c r="M21" s="19">
        <v>339.9</v>
      </c>
      <c r="N21" s="55">
        <v>367.5</v>
      </c>
      <c r="O21" s="55">
        <v>366.4</v>
      </c>
      <c r="P21" s="21">
        <v>349.3</v>
      </c>
      <c r="Q21" s="117">
        <f t="shared" ref="Q21:Q22" si="47">SUM(M21:P21)</f>
        <v>1423.1</v>
      </c>
      <c r="R21" s="19">
        <v>337.7</v>
      </c>
      <c r="S21" s="55">
        <v>378.2</v>
      </c>
      <c r="T21" s="55">
        <v>363.4</v>
      </c>
      <c r="U21" s="21">
        <v>356.7</v>
      </c>
      <c r="V21" s="117">
        <f t="shared" ref="V21:V22" si="48">SUM(R21:U21)</f>
        <v>1436</v>
      </c>
      <c r="W21" s="19">
        <v>342.2</v>
      </c>
      <c r="X21" s="55">
        <v>381.8</v>
      </c>
      <c r="Y21" s="55">
        <v>374.3</v>
      </c>
      <c r="Z21" s="21">
        <v>349.1</v>
      </c>
      <c r="AA21" s="117">
        <f t="shared" ref="AA21:AA22" si="49">SUM(W21:Z21)</f>
        <v>1447.4</v>
      </c>
      <c r="AB21" s="19">
        <v>325.60000000000002</v>
      </c>
      <c r="AC21" s="55">
        <v>296.2</v>
      </c>
      <c r="AD21" s="55">
        <v>377.7</v>
      </c>
      <c r="AE21" s="132">
        <v>364</v>
      </c>
      <c r="AF21" s="143">
        <f t="shared" ref="AF21:AF22" si="50">SUM(AB21:AE21)</f>
        <v>1363.5</v>
      </c>
      <c r="AG21" s="19">
        <v>361.1</v>
      </c>
      <c r="AH21" s="131">
        <v>422.5</v>
      </c>
      <c r="AI21" s="131">
        <v>422.7</v>
      </c>
      <c r="AJ21" s="132">
        <v>424.9</v>
      </c>
      <c r="AK21" s="143">
        <f t="shared" ref="AK21:AK22" si="51">SUM(AG21:AJ21)</f>
        <v>1631.1999999999998</v>
      </c>
      <c r="AL21" s="19">
        <v>423.1</v>
      </c>
      <c r="AM21" s="131">
        <v>465.4</v>
      </c>
      <c r="AN21" s="131">
        <v>424.9</v>
      </c>
      <c r="AO21" s="132">
        <v>373.2</v>
      </c>
      <c r="AP21" s="143">
        <f t="shared" ref="AP21:AP22" si="52">SUM(AL21:AO21)</f>
        <v>1686.6000000000001</v>
      </c>
      <c r="AQ21" s="19">
        <v>367.5</v>
      </c>
      <c r="AR21" s="131">
        <v>399</v>
      </c>
      <c r="AS21" s="131">
        <v>375.5</v>
      </c>
      <c r="AT21" s="132">
        <v>350.5</v>
      </c>
      <c r="AU21" s="143">
        <f t="shared" ref="AU21:AU22" si="53">SUM(AQ21:AT21)</f>
        <v>1492.5</v>
      </c>
      <c r="AV21" s="19">
        <v>335.5</v>
      </c>
      <c r="AW21" s="131">
        <v>374</v>
      </c>
      <c r="AX21" s="131">
        <v>358.4</v>
      </c>
      <c r="AY21" s="132">
        <v>334.7</v>
      </c>
      <c r="AZ21" s="143">
        <f t="shared" ref="AZ21:AZ22" si="54">SUM(AV21:AY21)</f>
        <v>1402.6000000000001</v>
      </c>
      <c r="BA21" s="19">
        <v>333.6</v>
      </c>
      <c r="BB21" s="131">
        <v>363.9</v>
      </c>
      <c r="BC21" s="131">
        <v>358.5</v>
      </c>
      <c r="BD21" s="132">
        <v>325.8</v>
      </c>
      <c r="BE21" s="143">
        <f t="shared" ref="BE21:BE22" si="55">SUM(BA21:BD21)</f>
        <v>1381.8</v>
      </c>
      <c r="BG21" s="152"/>
      <c r="BH21" s="152"/>
    </row>
    <row r="22" spans="1:60" s="7" customFormat="1" ht="11.25" x14ac:dyDescent="0.2">
      <c r="A22" s="22" t="s">
        <v>31</v>
      </c>
      <c r="C22" s="26">
        <f t="shared" ref="C22:P22" si="56">SUM(C19:C21)</f>
        <v>990.2</v>
      </c>
      <c r="D22" s="27">
        <f t="shared" si="56"/>
        <v>1019.4000000000001</v>
      </c>
      <c r="E22" s="27">
        <f t="shared" si="56"/>
        <v>1031.5</v>
      </c>
      <c r="F22" s="28">
        <f t="shared" si="56"/>
        <v>965.2</v>
      </c>
      <c r="G22" s="118">
        <f t="shared" si="56"/>
        <v>4006.2999999999997</v>
      </c>
      <c r="H22" s="56">
        <f t="shared" si="56"/>
        <v>958.1</v>
      </c>
      <c r="I22" s="56">
        <f t="shared" si="56"/>
        <v>976.1</v>
      </c>
      <c r="J22" s="56">
        <f t="shared" si="56"/>
        <v>965.3</v>
      </c>
      <c r="K22" s="28">
        <f t="shared" si="56"/>
        <v>921.7</v>
      </c>
      <c r="L22" s="118">
        <f t="shared" si="56"/>
        <v>3821.2</v>
      </c>
      <c r="M22" s="26">
        <f t="shared" si="56"/>
        <v>979.30000000000007</v>
      </c>
      <c r="N22" s="56">
        <f t="shared" si="56"/>
        <v>1007.5</v>
      </c>
      <c r="O22" s="56">
        <f t="shared" si="56"/>
        <v>1027.6999999999998</v>
      </c>
      <c r="P22" s="56">
        <f t="shared" si="56"/>
        <v>1001.5999999999999</v>
      </c>
      <c r="Q22" s="118">
        <f t="shared" si="47"/>
        <v>4016.1</v>
      </c>
      <c r="R22" s="26">
        <f>SUM(R19:R21)</f>
        <v>1045</v>
      </c>
      <c r="S22" s="56">
        <f>SUM(S19:S21)</f>
        <v>1119.9000000000001</v>
      </c>
      <c r="T22" s="56">
        <f>SUM(T19:T21)</f>
        <v>1107.8</v>
      </c>
      <c r="U22" s="56">
        <f>SUM(U19:U21)</f>
        <v>1064.2</v>
      </c>
      <c r="V22" s="118">
        <f t="shared" si="48"/>
        <v>4336.8999999999996</v>
      </c>
      <c r="W22" s="26">
        <f>SUM(W19:W21)</f>
        <v>1170.5</v>
      </c>
      <c r="X22" s="56">
        <f>SUM(X19:X21)</f>
        <v>1228.0999999999999</v>
      </c>
      <c r="Y22" s="56">
        <f>SUM(Y19:Y21)</f>
        <v>1254.6000000000001</v>
      </c>
      <c r="Z22" s="56">
        <f>SUM(Z19:Z21)</f>
        <v>1159.8</v>
      </c>
      <c r="AA22" s="118">
        <f t="shared" si="49"/>
        <v>4813</v>
      </c>
      <c r="AB22" s="26">
        <f>SUM(AB19:AB21)</f>
        <v>1061.0999999999999</v>
      </c>
      <c r="AC22" s="56">
        <f>SUM(AC19:AC21)</f>
        <v>852</v>
      </c>
      <c r="AD22" s="56">
        <f>SUM(AD19:AD21)</f>
        <v>1221.2</v>
      </c>
      <c r="AE22" s="141">
        <f>SUM(AE19:AE21)</f>
        <v>1194.7</v>
      </c>
      <c r="AF22" s="144">
        <f t="shared" si="50"/>
        <v>4329</v>
      </c>
      <c r="AG22" s="26">
        <f>SUM(AG19:AG21)</f>
        <v>1165.4000000000001</v>
      </c>
      <c r="AH22" s="141">
        <f>SUM(AH19:AH21)</f>
        <v>1284.5999999999999</v>
      </c>
      <c r="AI22" s="141">
        <f>SUM(AI19:AI21)</f>
        <v>1334.8</v>
      </c>
      <c r="AJ22" s="141">
        <f>SUM(AJ19:AJ21)</f>
        <v>1348.9</v>
      </c>
      <c r="AK22" s="144">
        <f t="shared" si="51"/>
        <v>5133.7000000000007</v>
      </c>
      <c r="AL22" s="26">
        <f>SUM(AL19:AL21)</f>
        <v>1339.5</v>
      </c>
      <c r="AM22" s="141">
        <f>SUM(AM19:AM21)</f>
        <v>1349.8</v>
      </c>
      <c r="AN22" s="141">
        <f>SUM(AN19:AN21)</f>
        <v>1307.5</v>
      </c>
      <c r="AO22" s="141">
        <f>SUM(AO19:AO21)</f>
        <v>1207.1000000000001</v>
      </c>
      <c r="AP22" s="144">
        <f t="shared" si="52"/>
        <v>5203.9000000000005</v>
      </c>
      <c r="AQ22" s="26">
        <f>SUM(AQ19:AQ21)</f>
        <v>1226.7</v>
      </c>
      <c r="AR22" s="141">
        <f>SUM(AR19:AR21)</f>
        <v>1233.5999999999999</v>
      </c>
      <c r="AS22" s="141">
        <f>SUM(AS19:AS21)</f>
        <v>1185.9000000000001</v>
      </c>
      <c r="AT22" s="141">
        <f>SUM(AT19:AT21)</f>
        <v>1124.2</v>
      </c>
      <c r="AU22" s="144">
        <f t="shared" si="53"/>
        <v>4770.4000000000005</v>
      </c>
      <c r="AV22" s="26">
        <f>SUM(AV19:AV21)</f>
        <v>1106.2</v>
      </c>
      <c r="AW22" s="141">
        <f>SUM(AW19:AW21)</f>
        <v>1139.4000000000001</v>
      </c>
      <c r="AX22" s="141">
        <f>SUM(AX19:AX21)</f>
        <v>1111.4000000000001</v>
      </c>
      <c r="AY22" s="141">
        <f>SUM(AY19:AY21)</f>
        <v>1064.7</v>
      </c>
      <c r="AZ22" s="144">
        <f t="shared" si="54"/>
        <v>4421.7000000000007</v>
      </c>
      <c r="BA22" s="26">
        <f>SUM(BA19:BA21)</f>
        <v>1029.8000000000002</v>
      </c>
      <c r="BB22" s="141">
        <f>SUM(BB19:BB21)</f>
        <v>1064.6999999999998</v>
      </c>
      <c r="BC22" s="141">
        <f>SUM(BC19:BC21)</f>
        <v>1044.0999999999999</v>
      </c>
      <c r="BD22" s="141">
        <f>SUM(BD19:BD21)</f>
        <v>946.59999999999991</v>
      </c>
      <c r="BE22" s="144">
        <f t="shared" si="55"/>
        <v>4085.2</v>
      </c>
    </row>
    <row r="23" spans="1:60" s="7" customFormat="1" ht="9.9499999999999993" customHeight="1" x14ac:dyDescent="0.2">
      <c r="C23" s="36"/>
      <c r="D23" s="37"/>
      <c r="E23" s="38"/>
      <c r="F23" s="39"/>
      <c r="G23" s="115"/>
      <c r="H23" s="37"/>
      <c r="I23" s="37"/>
      <c r="J23" s="38"/>
      <c r="K23" s="39"/>
      <c r="L23" s="115"/>
      <c r="M23" s="36"/>
      <c r="N23" s="37"/>
      <c r="O23" s="38"/>
      <c r="P23" s="39"/>
      <c r="Q23" s="115"/>
      <c r="R23" s="36"/>
      <c r="S23" s="37"/>
      <c r="T23" s="38"/>
      <c r="U23" s="39"/>
      <c r="V23" s="115"/>
      <c r="W23" s="36"/>
      <c r="X23" s="37"/>
      <c r="Y23" s="38"/>
      <c r="Z23" s="39"/>
      <c r="AA23" s="115"/>
      <c r="AB23" s="36"/>
      <c r="AC23" s="37"/>
      <c r="AD23" s="38"/>
      <c r="AE23" s="39"/>
      <c r="AF23" s="115"/>
      <c r="AG23" s="36"/>
      <c r="AH23" s="37"/>
      <c r="AI23" s="38"/>
      <c r="AJ23" s="39"/>
      <c r="AK23" s="115"/>
      <c r="AL23" s="36"/>
      <c r="AM23" s="37"/>
      <c r="AN23" s="38"/>
      <c r="AO23" s="39"/>
      <c r="AP23" s="115"/>
      <c r="AQ23" s="36"/>
      <c r="AR23" s="37"/>
      <c r="AS23" s="38"/>
      <c r="AT23" s="39"/>
      <c r="AU23" s="115"/>
      <c r="AV23" s="36"/>
      <c r="AW23" s="37"/>
      <c r="AX23" s="38"/>
      <c r="AY23" s="39"/>
      <c r="AZ23" s="115"/>
      <c r="BA23" s="36"/>
      <c r="BB23" s="37"/>
      <c r="BC23" s="38"/>
      <c r="BD23" s="39"/>
      <c r="BE23" s="115"/>
    </row>
    <row r="24" spans="1:60" s="7" customFormat="1" ht="11.25" x14ac:dyDescent="0.2">
      <c r="A24" s="22" t="s">
        <v>143</v>
      </c>
      <c r="C24" s="14"/>
      <c r="F24" s="15"/>
      <c r="G24" s="115"/>
      <c r="K24" s="15"/>
      <c r="L24" s="115"/>
      <c r="M24" s="14"/>
      <c r="P24" s="15"/>
      <c r="Q24" s="115"/>
      <c r="R24" s="14"/>
      <c r="U24" s="15"/>
      <c r="V24" s="115"/>
      <c r="W24" s="14"/>
      <c r="Z24" s="15"/>
      <c r="AA24" s="115"/>
      <c r="AB24" s="14"/>
      <c r="AE24" s="15"/>
      <c r="AF24" s="115"/>
      <c r="AG24" s="14"/>
      <c r="AJ24" s="15"/>
      <c r="AK24" s="115"/>
      <c r="AL24" s="14"/>
      <c r="AO24" s="15"/>
      <c r="AP24" s="115"/>
      <c r="AQ24" s="14"/>
      <c r="AT24" s="15"/>
      <c r="AU24" s="115"/>
      <c r="AV24" s="14"/>
      <c r="AY24" s="15"/>
      <c r="AZ24" s="115"/>
      <c r="BA24" s="14"/>
      <c r="BD24" s="15"/>
      <c r="BE24" s="115"/>
    </row>
    <row r="25" spans="1:60" s="7" customFormat="1" ht="11.25" x14ac:dyDescent="0.2">
      <c r="A25" s="7" t="s">
        <v>141</v>
      </c>
      <c r="C25" s="32">
        <v>6.8000000000000005E-2</v>
      </c>
      <c r="D25" s="33">
        <v>1E-3</v>
      </c>
      <c r="E25" s="33">
        <v>-3.2000000000000001E-2</v>
      </c>
      <c r="F25" s="34">
        <v>-2.9000000000000001E-2</v>
      </c>
      <c r="G25" s="120">
        <v>0</v>
      </c>
      <c r="H25" s="33">
        <v>-6.8000000000000005E-2</v>
      </c>
      <c r="I25" s="33">
        <v>-0.05</v>
      </c>
      <c r="J25" s="33">
        <v>-6.9000000000000006E-2</v>
      </c>
      <c r="K25" s="34">
        <v>-4.8000000000000001E-2</v>
      </c>
      <c r="L25" s="120">
        <v>-5.8999999999999997E-2</v>
      </c>
      <c r="M25" s="32">
        <v>3.5000000000000003E-2</v>
      </c>
      <c r="N25" s="33">
        <v>4.4999999999999998E-2</v>
      </c>
      <c r="O25" s="33">
        <v>9.4E-2</v>
      </c>
      <c r="P25" s="34">
        <v>0.153</v>
      </c>
      <c r="Q25" s="120">
        <v>8.1000000000000003E-2</v>
      </c>
      <c r="R25" s="46">
        <v>9.2999999999999999E-2</v>
      </c>
      <c r="S25" s="139">
        <v>0.16500000000000001</v>
      </c>
      <c r="T25" s="139">
        <v>0.14000000000000001</v>
      </c>
      <c r="U25" s="47">
        <v>7.5999999999999998E-2</v>
      </c>
      <c r="V25" s="119">
        <v>0.11899999999999999</v>
      </c>
      <c r="W25" s="46">
        <v>0.04</v>
      </c>
      <c r="X25" s="139">
        <v>-8.2000000000000003E-2</v>
      </c>
      <c r="Y25" s="139">
        <v>-8.5999999999999993E-2</v>
      </c>
      <c r="Z25" s="47">
        <v>-0.10199999999999999</v>
      </c>
      <c r="AA25" s="119">
        <v>-5.8999999999999997E-2</v>
      </c>
      <c r="AB25" s="46">
        <v>-0.154</v>
      </c>
      <c r="AC25" s="139">
        <v>-0.27800000000000002</v>
      </c>
      <c r="AD25" s="139">
        <v>-1.2999999999999999E-2</v>
      </c>
      <c r="AE25" s="47">
        <v>5.2999999999999999E-2</v>
      </c>
      <c r="AF25" s="119">
        <v>-0.1</v>
      </c>
      <c r="AG25" s="46">
        <v>0.11899999999999999</v>
      </c>
      <c r="AH25" s="151">
        <v>0.499</v>
      </c>
      <c r="AI25" s="151">
        <v>0.11600000000000001</v>
      </c>
      <c r="AJ25" s="34">
        <v>0.15</v>
      </c>
      <c r="AK25" s="120">
        <v>0.20300000000000001</v>
      </c>
      <c r="AL25" s="32">
        <v>0.16500000000000001</v>
      </c>
      <c r="AM25" s="151">
        <v>-2E-3</v>
      </c>
      <c r="AN25" s="151">
        <v>-0.12</v>
      </c>
      <c r="AO25" s="34">
        <v>-0.19</v>
      </c>
      <c r="AP25" s="120">
        <v>-4.7E-2</v>
      </c>
      <c r="AQ25" s="32">
        <v>-0.17199999999999999</v>
      </c>
      <c r="AR25" s="151">
        <v>-0.17599999999999999</v>
      </c>
      <c r="AS25" s="151">
        <v>-0.17</v>
      </c>
      <c r="AT25" s="34">
        <v>-0.14099999999999999</v>
      </c>
      <c r="AU25" s="120">
        <v>-0.16600000000000001</v>
      </c>
      <c r="AV25" s="32">
        <v>-0.152</v>
      </c>
      <c r="AW25" s="151">
        <v>-0.13200000000000001</v>
      </c>
      <c r="AX25" s="151">
        <v>-7.8E-2</v>
      </c>
      <c r="AY25" s="34">
        <v>-6.3E-2</v>
      </c>
      <c r="AZ25" s="120">
        <v>-0.108</v>
      </c>
      <c r="BA25" s="32">
        <v>-0.122</v>
      </c>
      <c r="BB25" s="151">
        <v>-9.9000000000000005E-2</v>
      </c>
      <c r="BC25" s="151">
        <v>-9.0999999999999998E-2</v>
      </c>
      <c r="BD25" s="34">
        <v>-0.10299999999999999</v>
      </c>
      <c r="BE25" s="120">
        <v>-0.104</v>
      </c>
    </row>
    <row r="26" spans="1:60" s="7" customFormat="1" ht="11.25" x14ac:dyDescent="0.2">
      <c r="A26" s="7" t="s">
        <v>30</v>
      </c>
      <c r="C26" s="32">
        <v>5.7000000000000002E-2</v>
      </c>
      <c r="D26" s="33">
        <v>-8.9999999999999993E-3</v>
      </c>
      <c r="E26" s="33">
        <v>4.2000000000000003E-2</v>
      </c>
      <c r="F26" s="34">
        <v>6.8000000000000005E-2</v>
      </c>
      <c r="G26" s="120">
        <v>3.7999999999999999E-2</v>
      </c>
      <c r="H26" s="33">
        <v>8.5999999999999993E-2</v>
      </c>
      <c r="I26" s="33">
        <v>9.9000000000000005E-2</v>
      </c>
      <c r="J26" s="33">
        <v>7.0000000000000007E-2</v>
      </c>
      <c r="K26" s="34">
        <v>0.08</v>
      </c>
      <c r="L26" s="120">
        <v>8.4000000000000005E-2</v>
      </c>
      <c r="M26" s="32">
        <v>9.2999999999999999E-2</v>
      </c>
      <c r="N26" s="33">
        <v>4.7E-2</v>
      </c>
      <c r="O26" s="33">
        <v>8.5599999999999996E-2</v>
      </c>
      <c r="P26" s="34">
        <v>0.108</v>
      </c>
      <c r="Q26" s="120">
        <v>8.2699999999999996E-2</v>
      </c>
      <c r="R26" s="46">
        <v>0.11700000000000001</v>
      </c>
      <c r="S26" s="139">
        <v>0.11799999999999999</v>
      </c>
      <c r="T26" s="139">
        <v>3.3000000000000002E-2</v>
      </c>
      <c r="U26" s="47">
        <v>2E-3</v>
      </c>
      <c r="V26" s="119">
        <v>6.7000000000000004E-2</v>
      </c>
      <c r="W26" s="46">
        <v>-4.7E-2</v>
      </c>
      <c r="X26" s="139">
        <v>-3.2000000000000001E-2</v>
      </c>
      <c r="Y26" s="139">
        <v>5.3999999999999999E-2</v>
      </c>
      <c r="Z26" s="47">
        <v>3.9E-2</v>
      </c>
      <c r="AA26" s="119">
        <v>2E-3</v>
      </c>
      <c r="AB26" s="46">
        <v>-0.108</v>
      </c>
      <c r="AC26" s="139">
        <v>-0.47299999999999998</v>
      </c>
      <c r="AD26" s="139">
        <v>-9.0999999999999998E-2</v>
      </c>
      <c r="AE26" s="47">
        <v>1.2E-2</v>
      </c>
      <c r="AF26" s="119">
        <v>-0.16500000000000001</v>
      </c>
      <c r="AG26" s="32">
        <v>8.8999999999999996E-2</v>
      </c>
      <c r="AH26" s="151">
        <v>0.69099999999999995</v>
      </c>
      <c r="AI26" s="151">
        <v>-4.3999999999999997E-2</v>
      </c>
      <c r="AJ26" s="34">
        <v>-4.5999999999999999E-2</v>
      </c>
      <c r="AK26" s="120">
        <v>0.107</v>
      </c>
      <c r="AL26" s="32">
        <v>2.5000000000000001E-2</v>
      </c>
      <c r="AM26" s="151">
        <v>7.5999999999999998E-2</v>
      </c>
      <c r="AN26" s="151">
        <v>0.189</v>
      </c>
      <c r="AO26" s="34">
        <v>4.4999999999999998E-2</v>
      </c>
      <c r="AP26" s="120">
        <v>8.1000000000000003E-2</v>
      </c>
      <c r="AQ26" s="32">
        <v>8.5000000000000006E-2</v>
      </c>
      <c r="AR26" s="151">
        <v>0.121</v>
      </c>
      <c r="AS26" s="151">
        <v>3.1E-2</v>
      </c>
      <c r="AT26" s="34">
        <v>5.1999999999999998E-2</v>
      </c>
      <c r="AU26" s="120">
        <v>7.0999999999999994E-2</v>
      </c>
      <c r="AV26" s="32">
        <v>-1.4999999999999999E-2</v>
      </c>
      <c r="AW26" s="151">
        <v>-5.0000000000000001E-3</v>
      </c>
      <c r="AX26" s="151">
        <v>-6.0999999999999999E-2</v>
      </c>
      <c r="AY26" s="34">
        <v>-4.5999999999999999E-2</v>
      </c>
      <c r="AZ26" s="120">
        <v>-3.2000000000000001E-2</v>
      </c>
      <c r="BA26" s="32">
        <v>-0.05</v>
      </c>
      <c r="BB26" s="151">
        <v>-4.8000000000000001E-2</v>
      </c>
      <c r="BC26" s="151">
        <v>-0.02</v>
      </c>
      <c r="BD26" s="34">
        <v>-4.1000000000000002E-2</v>
      </c>
      <c r="BE26" s="120">
        <v>-4.1000000000000002E-2</v>
      </c>
    </row>
    <row r="27" spans="1:60" s="7" customFormat="1" ht="11.25" x14ac:dyDescent="0.2">
      <c r="A27" s="7" t="s">
        <v>142</v>
      </c>
      <c r="C27" s="32">
        <v>5.2999999999999999E-2</v>
      </c>
      <c r="D27" s="33">
        <v>-0.01</v>
      </c>
      <c r="E27" s="33">
        <v>-4.0000000000000001E-3</v>
      </c>
      <c r="F27" s="34">
        <v>-7.0000000000000007E-2</v>
      </c>
      <c r="G27" s="120">
        <v>-0.01</v>
      </c>
      <c r="H27" s="33">
        <v>-1.2E-2</v>
      </c>
      <c r="I27" s="33">
        <v>-4.2999999999999997E-2</v>
      </c>
      <c r="J27" s="33">
        <v>-3.5000000000000003E-2</v>
      </c>
      <c r="K27" s="137">
        <v>-0.03</v>
      </c>
      <c r="L27" s="120">
        <v>-3.1E-2</v>
      </c>
      <c r="M27" s="32">
        <v>3.0000000000000001E-3</v>
      </c>
      <c r="N27" s="33">
        <v>2.1000000000000001E-2</v>
      </c>
      <c r="O27" s="33">
        <v>1.2999999999999999E-2</v>
      </c>
      <c r="P27" s="34">
        <v>2E-3</v>
      </c>
      <c r="Q27" s="120">
        <v>0.01</v>
      </c>
      <c r="R27" s="46">
        <v>-2.7E-2</v>
      </c>
      <c r="S27" s="139">
        <v>1.7999999999999999E-2</v>
      </c>
      <c r="T27" s="139">
        <v>-2.1999999999999999E-2</v>
      </c>
      <c r="U27" s="47">
        <v>6.4000000000000003E-3</v>
      </c>
      <c r="V27" s="119">
        <v>-6.0000000000000001E-3</v>
      </c>
      <c r="W27" s="46">
        <v>-3.2000000000000001E-2</v>
      </c>
      <c r="X27" s="139">
        <v>-0.04</v>
      </c>
      <c r="Y27" s="139">
        <v>0.01</v>
      </c>
      <c r="Z27" s="47">
        <v>-2.4E-2</v>
      </c>
      <c r="AA27" s="119">
        <v>-2.1999999999999999E-2</v>
      </c>
      <c r="AB27" s="46">
        <v>-6.9000000000000006E-2</v>
      </c>
      <c r="AC27" s="139">
        <v>-0.25</v>
      </c>
      <c r="AD27" s="139">
        <v>-2.1999999999999999E-2</v>
      </c>
      <c r="AE27" s="47">
        <v>0.03</v>
      </c>
      <c r="AF27" s="119">
        <v>-8.1000000000000003E-2</v>
      </c>
      <c r="AG27" s="46">
        <v>0.11600000000000001</v>
      </c>
      <c r="AH27" s="151">
        <v>0.42699999999999999</v>
      </c>
      <c r="AI27" s="151">
        <v>0.11700000000000001</v>
      </c>
      <c r="AJ27" s="34">
        <v>0.16700000000000001</v>
      </c>
      <c r="AK27" s="120">
        <v>0.19700000000000001</v>
      </c>
      <c r="AL27" s="32">
        <v>0.16800000000000001</v>
      </c>
      <c r="AM27" s="151">
        <v>9.9000000000000005E-2</v>
      </c>
      <c r="AN27" s="151">
        <v>2E-3</v>
      </c>
      <c r="AO27" s="34">
        <v>-0.13</v>
      </c>
      <c r="AP27" s="120">
        <v>2.9000000000000001E-2</v>
      </c>
      <c r="AQ27" s="32">
        <v>-0.14699999999999999</v>
      </c>
      <c r="AR27" s="151">
        <v>-0.16500000000000001</v>
      </c>
      <c r="AS27" s="151">
        <v>-0.14000000000000001</v>
      </c>
      <c r="AT27" s="34">
        <v>-7.4999999999999997E-2</v>
      </c>
      <c r="AU27" s="120">
        <v>-0.13500000000000001</v>
      </c>
      <c r="AV27" s="32">
        <v>-8.5999999999999993E-2</v>
      </c>
      <c r="AW27" s="151">
        <v>-6.2E-2</v>
      </c>
      <c r="AX27" s="151">
        <v>-4.3999999999999997E-2</v>
      </c>
      <c r="AY27" s="34">
        <v>-4.4999999999999998E-2</v>
      </c>
      <c r="AZ27" s="120">
        <v>-5.8999999999999997E-2</v>
      </c>
      <c r="BA27" s="32">
        <v>-5.0000000000000001E-3</v>
      </c>
      <c r="BB27" s="151">
        <v>-2.1999999999999999E-2</v>
      </c>
      <c r="BC27" s="151">
        <v>5.0000000000000001E-3</v>
      </c>
      <c r="BD27" s="34">
        <v>-1.9E-2</v>
      </c>
      <c r="BE27" s="120">
        <v>-0.01</v>
      </c>
    </row>
    <row r="28" spans="1:60" s="7" customFormat="1" ht="9.9499999999999993" customHeight="1" thickBot="1" x14ac:dyDescent="0.25">
      <c r="C28" s="14"/>
      <c r="F28" s="15"/>
      <c r="G28" s="115"/>
      <c r="K28" s="15"/>
      <c r="L28" s="115"/>
      <c r="M28" s="14"/>
      <c r="P28" s="15"/>
      <c r="Q28" s="115"/>
      <c r="R28" s="14"/>
      <c r="U28" s="15"/>
      <c r="V28" s="115"/>
      <c r="W28" s="14"/>
      <c r="Z28" s="15"/>
      <c r="AA28" s="115"/>
      <c r="AB28" s="14"/>
      <c r="AE28" s="15"/>
      <c r="AF28" s="115"/>
      <c r="AG28" s="14"/>
      <c r="AJ28" s="15"/>
      <c r="AK28" s="115"/>
      <c r="AL28" s="14"/>
      <c r="AO28" s="15"/>
      <c r="AP28" s="115"/>
      <c r="AQ28" s="14"/>
      <c r="AT28" s="15"/>
      <c r="AU28" s="115"/>
      <c r="AV28" s="14"/>
      <c r="AY28" s="15"/>
      <c r="AZ28" s="115"/>
      <c r="BA28" s="14"/>
      <c r="BD28" s="15"/>
      <c r="BE28" s="115"/>
    </row>
    <row r="29" spans="1:60" s="7" customFormat="1" ht="12" thickBot="1" x14ac:dyDescent="0.25">
      <c r="A29" s="13" t="s">
        <v>144</v>
      </c>
      <c r="C29" s="14"/>
      <c r="F29" s="15"/>
      <c r="G29" s="115"/>
      <c r="K29" s="15"/>
      <c r="L29" s="115"/>
      <c r="M29" s="14"/>
      <c r="P29" s="15"/>
      <c r="Q29" s="115"/>
      <c r="R29" s="14"/>
      <c r="U29" s="15"/>
      <c r="V29" s="115"/>
      <c r="W29" s="14"/>
      <c r="Z29" s="15"/>
      <c r="AA29" s="115"/>
      <c r="AB29" s="14"/>
      <c r="AE29" s="15"/>
      <c r="AF29" s="115"/>
      <c r="AG29" s="14"/>
      <c r="AJ29" s="15"/>
      <c r="AK29" s="115"/>
      <c r="AL29" s="14"/>
      <c r="AO29" s="15"/>
      <c r="AP29" s="115"/>
      <c r="AQ29" s="14"/>
      <c r="AT29" s="15"/>
      <c r="AU29" s="115"/>
      <c r="AV29" s="14"/>
      <c r="AY29" s="15"/>
      <c r="AZ29" s="115"/>
      <c r="BA29" s="14"/>
      <c r="BD29" s="15"/>
      <c r="BE29" s="115"/>
    </row>
    <row r="30" spans="1:60" s="7" customFormat="1" ht="11.25" x14ac:dyDescent="0.2">
      <c r="A30" s="7" t="s">
        <v>141</v>
      </c>
      <c r="C30" s="40">
        <v>43</v>
      </c>
      <c r="D30" s="41">
        <v>40.9</v>
      </c>
      <c r="E30" s="41">
        <v>50.9</v>
      </c>
      <c r="F30" s="42">
        <v>30</v>
      </c>
      <c r="G30" s="121">
        <f>SUM(C30:F30)</f>
        <v>164.8</v>
      </c>
      <c r="H30" s="41">
        <v>50.7</v>
      </c>
      <c r="I30" s="41">
        <v>59.8</v>
      </c>
      <c r="J30" s="41">
        <v>50.6</v>
      </c>
      <c r="K30" s="42">
        <v>53.4</v>
      </c>
      <c r="L30" s="121">
        <f>SUM(H30:K30)</f>
        <v>214.5</v>
      </c>
      <c r="M30" s="40">
        <v>46.5</v>
      </c>
      <c r="N30" s="41">
        <v>44.7</v>
      </c>
      <c r="O30" s="41">
        <v>48.4</v>
      </c>
      <c r="P30" s="42">
        <v>36.200000000000003</v>
      </c>
      <c r="Q30" s="121">
        <f>SUM(M30:P30)</f>
        <v>175.8</v>
      </c>
      <c r="R30" s="40">
        <v>45.1</v>
      </c>
      <c r="S30" s="41">
        <v>49.1</v>
      </c>
      <c r="T30" s="41">
        <v>59.5</v>
      </c>
      <c r="U30" s="42">
        <v>17.7</v>
      </c>
      <c r="V30" s="121">
        <f>SUM(R30:U30)</f>
        <v>171.39999999999998</v>
      </c>
      <c r="W30" s="40">
        <v>44.6</v>
      </c>
      <c r="X30" s="41">
        <v>55.1</v>
      </c>
      <c r="Y30" s="41">
        <v>67.2</v>
      </c>
      <c r="Z30" s="42">
        <v>48</v>
      </c>
      <c r="AA30" s="121">
        <f>SUM(W30:Z30)</f>
        <v>214.9</v>
      </c>
      <c r="AB30" s="40">
        <v>28.3</v>
      </c>
      <c r="AC30" s="41">
        <v>18.899999999999999</v>
      </c>
      <c r="AD30" s="41">
        <v>75.8</v>
      </c>
      <c r="AE30" s="42">
        <v>69.400000000000006</v>
      </c>
      <c r="AF30" s="121">
        <f>SUM(AB30:AE30)</f>
        <v>192.4</v>
      </c>
      <c r="AG30" s="40">
        <v>63.8</v>
      </c>
      <c r="AH30" s="41">
        <v>100.4</v>
      </c>
      <c r="AI30" s="41">
        <v>81.099999999999994</v>
      </c>
      <c r="AJ30" s="42">
        <v>76</v>
      </c>
      <c r="AK30" s="121">
        <f>SUM(AG30:AJ30)</f>
        <v>321.29999999999995</v>
      </c>
      <c r="AL30" s="40">
        <v>76.2</v>
      </c>
      <c r="AM30" s="41">
        <v>69.099999999999994</v>
      </c>
      <c r="AN30" s="41">
        <v>43.9</v>
      </c>
      <c r="AO30" s="42">
        <v>30.4</v>
      </c>
      <c r="AP30" s="121">
        <f>SUM(AL30:AO30)</f>
        <v>219.60000000000002</v>
      </c>
      <c r="AQ30" s="40">
        <v>33.299999999999997</v>
      </c>
      <c r="AR30" s="41">
        <v>23</v>
      </c>
      <c r="AS30" s="41">
        <v>31.1</v>
      </c>
      <c r="AT30" s="41">
        <v>-431.6</v>
      </c>
      <c r="AU30" s="121">
        <f>SUM(AQ30:AT30)</f>
        <v>-344.20000000000005</v>
      </c>
      <c r="AV30" s="40">
        <v>15.7</v>
      </c>
      <c r="AW30" s="41">
        <v>-591.79999999999995</v>
      </c>
      <c r="AX30" s="41">
        <v>25.5</v>
      </c>
      <c r="AY30" s="41">
        <v>1.6</v>
      </c>
      <c r="AZ30" s="121">
        <f>SUM(AV30:AY30)</f>
        <v>-548.99999999999989</v>
      </c>
      <c r="BA30" s="40">
        <v>9.6</v>
      </c>
      <c r="BB30" s="41">
        <v>27.2</v>
      </c>
      <c r="BC30" s="41">
        <v>36.4</v>
      </c>
      <c r="BD30" s="41">
        <v>25.5</v>
      </c>
      <c r="BE30" s="121">
        <f>SUM(BA30:BD30)</f>
        <v>98.699999999999989</v>
      </c>
    </row>
    <row r="31" spans="1:60" s="7" customFormat="1" ht="11.25" x14ac:dyDescent="0.2">
      <c r="A31" s="7" t="s">
        <v>30</v>
      </c>
      <c r="C31" s="40">
        <v>37.299999999999997</v>
      </c>
      <c r="D31" s="41">
        <v>36.200000000000003</v>
      </c>
      <c r="E31" s="41">
        <v>36.200000000000003</v>
      </c>
      <c r="F31" s="42">
        <v>38.4</v>
      </c>
      <c r="G31" s="121">
        <f>SUM(C31:F31)</f>
        <v>148.1</v>
      </c>
      <c r="H31" s="41">
        <v>43.499999999999993</v>
      </c>
      <c r="I31" s="41">
        <v>56.2</v>
      </c>
      <c r="J31" s="41">
        <v>40.799999999999997</v>
      </c>
      <c r="K31" s="42">
        <v>43.2</v>
      </c>
      <c r="L31" s="121">
        <f>SUM(H31:K31)</f>
        <v>183.7</v>
      </c>
      <c r="M31" s="40">
        <v>43</v>
      </c>
      <c r="N31" s="41">
        <v>43.9</v>
      </c>
      <c r="O31" s="41">
        <v>34.6</v>
      </c>
      <c r="P31" s="42">
        <v>74.400000000000006</v>
      </c>
      <c r="Q31" s="121">
        <f>SUM(M31:P31)</f>
        <v>195.9</v>
      </c>
      <c r="R31" s="40">
        <v>46.3</v>
      </c>
      <c r="S31" s="41">
        <v>52.2</v>
      </c>
      <c r="T31" s="41">
        <v>43.6</v>
      </c>
      <c r="U31" s="42">
        <v>47.4</v>
      </c>
      <c r="V31" s="121">
        <f>SUM(R31:U31)</f>
        <v>189.5</v>
      </c>
      <c r="W31" s="40">
        <v>35.6</v>
      </c>
      <c r="X31" s="41">
        <v>41.5</v>
      </c>
      <c r="Y31" s="41">
        <v>44.1</v>
      </c>
      <c r="Z31" s="42">
        <v>48.7</v>
      </c>
      <c r="AA31" s="121">
        <f>SUM(W31:Z31)</f>
        <v>169.89999999999998</v>
      </c>
      <c r="AB31" s="40">
        <v>27.7</v>
      </c>
      <c r="AC31" s="41">
        <v>-19.7</v>
      </c>
      <c r="AD31" s="41">
        <v>32.6</v>
      </c>
      <c r="AE31" s="42">
        <v>51.4</v>
      </c>
      <c r="AF31" s="121">
        <f>SUM(AB31:AE31)</f>
        <v>92</v>
      </c>
      <c r="AG31" s="40">
        <v>35.200000000000003</v>
      </c>
      <c r="AH31" s="41">
        <v>27.4</v>
      </c>
      <c r="AI31" s="41">
        <v>22.4</v>
      </c>
      <c r="AJ31" s="42">
        <v>30.9</v>
      </c>
      <c r="AK31" s="121">
        <f>SUM(AG31:AJ31)</f>
        <v>115.9</v>
      </c>
      <c r="AL31" s="40">
        <v>20.3</v>
      </c>
      <c r="AM31" s="41">
        <v>21.4</v>
      </c>
      <c r="AN31" s="41">
        <v>31.3</v>
      </c>
      <c r="AO31" s="42">
        <v>26.4</v>
      </c>
      <c r="AP31" s="121">
        <f>SUM(AL31:AO31)</f>
        <v>99.4</v>
      </c>
      <c r="AQ31" s="40">
        <v>28.7</v>
      </c>
      <c r="AR31" s="41">
        <v>33.1</v>
      </c>
      <c r="AS31" s="41">
        <v>31.2</v>
      </c>
      <c r="AT31" s="42">
        <v>32</v>
      </c>
      <c r="AU31" s="121">
        <f>SUM(AQ31:AT31)</f>
        <v>125</v>
      </c>
      <c r="AV31" s="40">
        <v>23.7</v>
      </c>
      <c r="AW31" s="41">
        <v>-9.5</v>
      </c>
      <c r="AX31" s="41">
        <v>24.8</v>
      </c>
      <c r="AY31" s="42">
        <v>25.4</v>
      </c>
      <c r="AZ31" s="121">
        <f>SUM(AV31:AY31)</f>
        <v>64.400000000000006</v>
      </c>
      <c r="BA31" s="40">
        <v>28.4</v>
      </c>
      <c r="BB31" s="41">
        <v>38.700000000000003</v>
      </c>
      <c r="BC31" s="41">
        <v>112.9</v>
      </c>
      <c r="BD31" s="42">
        <v>24.3</v>
      </c>
      <c r="BE31" s="121">
        <f>SUM(BA31:BD31)</f>
        <v>204.3</v>
      </c>
    </row>
    <row r="32" spans="1:60" s="7" customFormat="1" ht="11.25" x14ac:dyDescent="0.2">
      <c r="A32" s="7" t="s">
        <v>142</v>
      </c>
      <c r="C32" s="40">
        <v>26.8</v>
      </c>
      <c r="D32" s="41">
        <v>36</v>
      </c>
      <c r="E32" s="41">
        <v>40.299999999999997</v>
      </c>
      <c r="F32" s="42">
        <v>32.6</v>
      </c>
      <c r="G32" s="121">
        <f t="shared" ref="G32" si="57">SUM(C32:F32)</f>
        <v>135.69999999999999</v>
      </c>
      <c r="H32" s="41">
        <v>32.700000000000003</v>
      </c>
      <c r="I32" s="41">
        <v>38.700000000000003</v>
      </c>
      <c r="J32" s="41">
        <v>34.299999999999997</v>
      </c>
      <c r="K32" s="42">
        <v>31.8</v>
      </c>
      <c r="L32" s="121">
        <f t="shared" ref="L32" si="58">SUM(H32:K32)</f>
        <v>137.5</v>
      </c>
      <c r="M32" s="40">
        <v>26</v>
      </c>
      <c r="N32" s="41">
        <v>35.4</v>
      </c>
      <c r="O32" s="41">
        <v>33.1</v>
      </c>
      <c r="P32" s="42">
        <v>31.2</v>
      </c>
      <c r="Q32" s="121">
        <f t="shared" ref="Q32:Q33" si="59">SUM(M32:P32)</f>
        <v>125.7</v>
      </c>
      <c r="R32" s="40">
        <v>22</v>
      </c>
      <c r="S32" s="41">
        <v>32.5</v>
      </c>
      <c r="T32" s="41">
        <v>26.6</v>
      </c>
      <c r="U32" s="42">
        <v>18.8</v>
      </c>
      <c r="V32" s="121">
        <f t="shared" ref="V32:V33" si="60">SUM(R32:U32)</f>
        <v>99.899999999999991</v>
      </c>
      <c r="W32" s="40">
        <v>19.100000000000001</v>
      </c>
      <c r="X32" s="41">
        <v>30.5</v>
      </c>
      <c r="Y32" s="41">
        <v>27.2</v>
      </c>
      <c r="Z32" s="42">
        <v>25.5</v>
      </c>
      <c r="AA32" s="121">
        <f t="shared" ref="AA32:AA33" si="61">SUM(W32:Z32)</f>
        <v>102.3</v>
      </c>
      <c r="AB32" s="40">
        <v>26.1</v>
      </c>
      <c r="AC32" s="41">
        <v>23</v>
      </c>
      <c r="AD32" s="41">
        <v>42.5</v>
      </c>
      <c r="AE32" s="42">
        <v>34.9</v>
      </c>
      <c r="AF32" s="121">
        <f t="shared" ref="AF32:AF33" si="62">SUM(AB32:AE32)</f>
        <v>126.5</v>
      </c>
      <c r="AG32" s="40">
        <v>28.3</v>
      </c>
      <c r="AH32" s="41">
        <v>44.7</v>
      </c>
      <c r="AI32" s="41">
        <v>41.1</v>
      </c>
      <c r="AJ32" s="42">
        <v>45.4</v>
      </c>
      <c r="AK32" s="121">
        <f t="shared" ref="AK32:AK33" si="63">SUM(AG32:AJ32)</f>
        <v>159.5</v>
      </c>
      <c r="AL32" s="40">
        <v>42.7</v>
      </c>
      <c r="AM32" s="41">
        <v>51.3</v>
      </c>
      <c r="AN32" s="41">
        <v>38.299999999999997</v>
      </c>
      <c r="AO32" s="42">
        <v>32.700000000000003</v>
      </c>
      <c r="AP32" s="121">
        <f t="shared" ref="AP32:AP33" si="64">SUM(AL32:AO32)</f>
        <v>165</v>
      </c>
      <c r="AQ32" s="40">
        <v>28.3</v>
      </c>
      <c r="AR32" s="41">
        <v>38.9</v>
      </c>
      <c r="AS32" s="41">
        <v>29.5</v>
      </c>
      <c r="AT32" s="42">
        <v>31.9</v>
      </c>
      <c r="AU32" s="121">
        <f t="shared" ref="AU32:AU33" si="65">SUM(AQ32:AT32)</f>
        <v>128.6</v>
      </c>
      <c r="AV32" s="40">
        <v>23.6</v>
      </c>
      <c r="AW32" s="41">
        <v>-9.4</v>
      </c>
      <c r="AX32" s="41">
        <v>27.4</v>
      </c>
      <c r="AY32" s="42">
        <v>16.600000000000001</v>
      </c>
      <c r="AZ32" s="121">
        <f t="shared" ref="AZ32:AZ33" si="66">SUM(AV32:AY32)</f>
        <v>58.2</v>
      </c>
      <c r="BA32" s="40">
        <v>24.8</v>
      </c>
      <c r="BB32" s="41">
        <v>24.4</v>
      </c>
      <c r="BC32" s="41">
        <v>22</v>
      </c>
      <c r="BD32" s="42">
        <v>7.4</v>
      </c>
      <c r="BE32" s="121">
        <f t="shared" ref="BE32:BE33" si="67">SUM(BA32:BD32)</f>
        <v>78.600000000000009</v>
      </c>
    </row>
    <row r="33" spans="1:57" s="7" customFormat="1" ht="11.25" x14ac:dyDescent="0.2">
      <c r="A33" s="7" t="s">
        <v>71</v>
      </c>
      <c r="C33" s="19">
        <v>-0.4</v>
      </c>
      <c r="D33" s="20">
        <v>-0.1</v>
      </c>
      <c r="E33" s="20">
        <v>0.1</v>
      </c>
      <c r="F33" s="21">
        <v>-12.1</v>
      </c>
      <c r="G33" s="117">
        <f>SUM(C33:F33)</f>
        <v>-12.5</v>
      </c>
      <c r="H33" s="55">
        <v>-0.1</v>
      </c>
      <c r="I33" s="55">
        <v>0.3</v>
      </c>
      <c r="J33" s="55">
        <v>-0.2</v>
      </c>
      <c r="K33" s="21">
        <v>0</v>
      </c>
      <c r="L33" s="117">
        <f>SUM(H33:K33)</f>
        <v>-2.7755575615628914E-17</v>
      </c>
      <c r="M33" s="130">
        <v>0.2</v>
      </c>
      <c r="N33" s="131">
        <v>0</v>
      </c>
      <c r="O33" s="131">
        <v>0</v>
      </c>
      <c r="P33" s="132">
        <v>-15.3</v>
      </c>
      <c r="Q33" s="117">
        <f t="shared" si="59"/>
        <v>-15.100000000000001</v>
      </c>
      <c r="R33" s="19">
        <v>-0.1</v>
      </c>
      <c r="S33" s="55">
        <v>-0.2</v>
      </c>
      <c r="T33" s="55">
        <v>-0.1</v>
      </c>
      <c r="U33" s="21">
        <v>-0.1</v>
      </c>
      <c r="V33" s="117">
        <f t="shared" si="60"/>
        <v>-0.5</v>
      </c>
      <c r="W33" s="19">
        <v>0</v>
      </c>
      <c r="X33" s="55">
        <v>-0.6</v>
      </c>
      <c r="Y33" s="55">
        <v>-0.3</v>
      </c>
      <c r="Z33" s="21">
        <v>0.6</v>
      </c>
      <c r="AA33" s="117">
        <f t="shared" si="61"/>
        <v>-0.29999999999999993</v>
      </c>
      <c r="AB33" s="19">
        <v>-3.5</v>
      </c>
      <c r="AC33" s="55">
        <v>0.5</v>
      </c>
      <c r="AD33" s="55">
        <v>-0.7</v>
      </c>
      <c r="AE33" s="21">
        <v>0.3</v>
      </c>
      <c r="AF33" s="117">
        <f t="shared" si="62"/>
        <v>-3.4000000000000004</v>
      </c>
      <c r="AG33" s="19">
        <v>0.4</v>
      </c>
      <c r="AH33" s="55">
        <v>-0.6</v>
      </c>
      <c r="AI33" s="55">
        <v>-0.4</v>
      </c>
      <c r="AJ33" s="21">
        <v>-0.1</v>
      </c>
      <c r="AK33" s="117">
        <f t="shared" si="63"/>
        <v>-0.7</v>
      </c>
      <c r="AL33" s="19">
        <v>-1.6</v>
      </c>
      <c r="AM33" s="55">
        <v>1.2</v>
      </c>
      <c r="AN33" s="55">
        <v>-0.3</v>
      </c>
      <c r="AO33" s="21">
        <v>1.7</v>
      </c>
      <c r="AP33" s="117">
        <f t="shared" si="64"/>
        <v>0.99999999999999978</v>
      </c>
      <c r="AQ33" s="19">
        <v>-1</v>
      </c>
      <c r="AR33" s="55">
        <v>0.7</v>
      </c>
      <c r="AS33" s="55">
        <v>-0.4</v>
      </c>
      <c r="AT33" s="21">
        <v>0.9</v>
      </c>
      <c r="AU33" s="117">
        <f t="shared" si="65"/>
        <v>0.19999999999999996</v>
      </c>
      <c r="AV33" s="19">
        <v>0</v>
      </c>
      <c r="AW33" s="55">
        <v>-3.6</v>
      </c>
      <c r="AX33" s="55">
        <v>0</v>
      </c>
      <c r="AY33" s="21">
        <v>0.1</v>
      </c>
      <c r="AZ33" s="117">
        <f t="shared" si="66"/>
        <v>-3.5</v>
      </c>
      <c r="BA33" s="19">
        <v>0.1</v>
      </c>
      <c r="BB33" s="55">
        <v>0.1</v>
      </c>
      <c r="BC33" s="55">
        <v>-0.2</v>
      </c>
      <c r="BD33" s="21">
        <v>-25.6</v>
      </c>
      <c r="BE33" s="117">
        <f t="shared" si="67"/>
        <v>-25.6</v>
      </c>
    </row>
    <row r="34" spans="1:57" s="7" customFormat="1" ht="11.25" x14ac:dyDescent="0.2">
      <c r="A34" s="22" t="s">
        <v>31</v>
      </c>
      <c r="C34" s="43">
        <f>SUM(C29:C33)</f>
        <v>106.69999999999999</v>
      </c>
      <c r="D34" s="44">
        <f>SUM(D29:D33)</f>
        <v>113</v>
      </c>
      <c r="E34" s="44">
        <f>SUM(E29:E33)</f>
        <v>127.49999999999999</v>
      </c>
      <c r="F34" s="45">
        <f>SUM(F29:F33)</f>
        <v>88.9</v>
      </c>
      <c r="G34" s="122">
        <f>SUM(G30:G33)</f>
        <v>436.09999999999997</v>
      </c>
      <c r="H34" s="44">
        <f>SUM(H29:H33)</f>
        <v>126.8</v>
      </c>
      <c r="I34" s="24">
        <f>SUM(I29:I33)</f>
        <v>155</v>
      </c>
      <c r="J34" s="24">
        <f>SUM(J29:J33)</f>
        <v>125.5</v>
      </c>
      <c r="K34" s="28">
        <f>SUM(K29:K33)</f>
        <v>128.4</v>
      </c>
      <c r="L34" s="122">
        <f>SUM(L30:L33)</f>
        <v>535.70000000000005</v>
      </c>
      <c r="M34" s="43">
        <f t="shared" ref="M34:AA34" si="68">SUM(M29:M33)</f>
        <v>115.7</v>
      </c>
      <c r="N34" s="44">
        <f t="shared" si="68"/>
        <v>124</v>
      </c>
      <c r="O34" s="44">
        <f t="shared" si="68"/>
        <v>116.1</v>
      </c>
      <c r="P34" s="45">
        <f t="shared" si="68"/>
        <v>126.50000000000001</v>
      </c>
      <c r="Q34" s="122">
        <f t="shared" si="68"/>
        <v>482.3</v>
      </c>
      <c r="R34" s="43">
        <f t="shared" si="68"/>
        <v>113.30000000000001</v>
      </c>
      <c r="S34" s="44">
        <f t="shared" si="68"/>
        <v>133.60000000000002</v>
      </c>
      <c r="T34" s="44">
        <f t="shared" si="68"/>
        <v>129.6</v>
      </c>
      <c r="U34" s="45">
        <f t="shared" si="68"/>
        <v>83.8</v>
      </c>
      <c r="V34" s="122">
        <f t="shared" si="68"/>
        <v>460.29999999999995</v>
      </c>
      <c r="W34" s="43">
        <f t="shared" si="68"/>
        <v>99.300000000000011</v>
      </c>
      <c r="X34" s="44">
        <f t="shared" si="68"/>
        <v>126.5</v>
      </c>
      <c r="Y34" s="44">
        <f t="shared" si="68"/>
        <v>138.19999999999999</v>
      </c>
      <c r="Z34" s="45">
        <f t="shared" si="68"/>
        <v>122.8</v>
      </c>
      <c r="AA34" s="122">
        <f t="shared" si="68"/>
        <v>486.79999999999995</v>
      </c>
      <c r="AB34" s="43">
        <f t="shared" ref="AB34:AF34" si="69">SUM(AB29:AB33)</f>
        <v>78.599999999999994</v>
      </c>
      <c r="AC34" s="44">
        <f t="shared" ref="AC34:AE34" si="70">SUM(AC29:AC33)</f>
        <v>22.7</v>
      </c>
      <c r="AD34" s="44">
        <f t="shared" si="70"/>
        <v>150.20000000000002</v>
      </c>
      <c r="AE34" s="44">
        <f t="shared" si="70"/>
        <v>156.00000000000003</v>
      </c>
      <c r="AF34" s="122">
        <f t="shared" si="69"/>
        <v>407.5</v>
      </c>
      <c r="AG34" s="43">
        <f t="shared" ref="AG34:AK34" si="71">SUM(AG29:AG33)</f>
        <v>127.7</v>
      </c>
      <c r="AH34" s="44">
        <f t="shared" si="71"/>
        <v>171.9</v>
      </c>
      <c r="AI34" s="44">
        <f t="shared" si="71"/>
        <v>144.19999999999999</v>
      </c>
      <c r="AJ34" s="44">
        <f t="shared" si="71"/>
        <v>152.20000000000002</v>
      </c>
      <c r="AK34" s="122">
        <f t="shared" si="71"/>
        <v>595.99999999999989</v>
      </c>
      <c r="AL34" s="43">
        <f t="shared" ref="AL34:AO34" si="72">SUM(AL29:AL33)</f>
        <v>137.6</v>
      </c>
      <c r="AM34" s="44">
        <f t="shared" si="72"/>
        <v>143</v>
      </c>
      <c r="AN34" s="44">
        <f t="shared" si="72"/>
        <v>113.2</v>
      </c>
      <c r="AO34" s="44">
        <f t="shared" si="72"/>
        <v>91.2</v>
      </c>
      <c r="AP34" s="122">
        <f>SUM(AP29:AP33)</f>
        <v>485</v>
      </c>
      <c r="AQ34" s="43">
        <f t="shared" ref="AQ34:AY34" si="73">SUM(AQ29:AQ33)</f>
        <v>89.3</v>
      </c>
      <c r="AR34" s="44">
        <f t="shared" si="73"/>
        <v>95.7</v>
      </c>
      <c r="AS34" s="44">
        <f t="shared" si="73"/>
        <v>91.399999999999991</v>
      </c>
      <c r="AT34" s="44">
        <f t="shared" si="73"/>
        <v>-366.80000000000007</v>
      </c>
      <c r="AU34" s="122">
        <f>SUM(AU29:AU33)</f>
        <v>-90.400000000000048</v>
      </c>
      <c r="AV34" s="43">
        <f t="shared" si="73"/>
        <v>63</v>
      </c>
      <c r="AW34" s="44">
        <f t="shared" si="73"/>
        <v>-614.29999999999995</v>
      </c>
      <c r="AX34" s="44">
        <f t="shared" si="73"/>
        <v>77.699999999999989</v>
      </c>
      <c r="AY34" s="44">
        <f t="shared" si="73"/>
        <v>43.7</v>
      </c>
      <c r="AZ34" s="122">
        <f>SUM(AZ29:AZ33)</f>
        <v>-429.89999999999992</v>
      </c>
      <c r="BA34" s="43">
        <f t="shared" ref="BA34:BD34" si="74">SUM(BA29:BA33)</f>
        <v>62.9</v>
      </c>
      <c r="BB34" s="44">
        <f t="shared" si="74"/>
        <v>90.4</v>
      </c>
      <c r="BC34" s="44">
        <f t="shared" si="74"/>
        <v>171.10000000000002</v>
      </c>
      <c r="BD34" s="44">
        <f t="shared" si="74"/>
        <v>31.599999999999994</v>
      </c>
      <c r="BE34" s="122">
        <f>SUM(BE29:BE33)</f>
        <v>356</v>
      </c>
    </row>
    <row r="35" spans="1:57" s="7" customFormat="1" ht="9.9499999999999993" customHeight="1" thickBot="1" x14ac:dyDescent="0.25">
      <c r="C35" s="14"/>
      <c r="F35" s="15"/>
      <c r="G35" s="115"/>
      <c r="K35" s="15"/>
      <c r="L35" s="115"/>
      <c r="M35" s="14"/>
      <c r="P35" s="15"/>
      <c r="Q35" s="115"/>
      <c r="R35" s="14"/>
      <c r="U35" s="15"/>
      <c r="V35" s="115"/>
      <c r="W35" s="14"/>
      <c r="Z35" s="15"/>
      <c r="AA35" s="115"/>
      <c r="AB35" s="14"/>
      <c r="AE35" s="15"/>
      <c r="AF35" s="115"/>
      <c r="AG35" s="14"/>
      <c r="AJ35" s="15"/>
      <c r="AK35" s="115"/>
      <c r="AL35" s="14"/>
      <c r="AO35" s="15"/>
      <c r="AP35" s="115"/>
      <c r="AQ35" s="14"/>
      <c r="AT35" s="15"/>
      <c r="AU35" s="115"/>
      <c r="AV35" s="14"/>
      <c r="AY35" s="15"/>
      <c r="AZ35" s="115"/>
      <c r="BA35" s="14"/>
      <c r="BD35" s="15"/>
      <c r="BE35" s="115"/>
    </row>
    <row r="36" spans="1:57" s="7" customFormat="1" ht="12" thickBot="1" x14ac:dyDescent="0.25">
      <c r="A36" s="13" t="s">
        <v>145</v>
      </c>
      <c r="C36" s="14"/>
      <c r="F36" s="15"/>
      <c r="G36" s="115"/>
      <c r="K36" s="15"/>
      <c r="L36" s="115"/>
      <c r="M36" s="14"/>
      <c r="P36" s="15"/>
      <c r="Q36" s="115"/>
      <c r="R36" s="14"/>
      <c r="U36" s="15"/>
      <c r="V36" s="115"/>
      <c r="W36" s="14"/>
      <c r="Z36" s="15"/>
      <c r="AA36" s="115"/>
      <c r="AB36" s="14"/>
      <c r="AE36" s="15"/>
      <c r="AF36" s="115"/>
      <c r="AG36" s="14"/>
      <c r="AJ36" s="15"/>
      <c r="AK36" s="115"/>
      <c r="AL36" s="14"/>
      <c r="AO36" s="15"/>
      <c r="AP36" s="115"/>
      <c r="AQ36" s="14"/>
      <c r="AT36" s="15"/>
      <c r="AU36" s="115"/>
      <c r="AV36" s="14"/>
      <c r="AY36" s="15"/>
      <c r="AZ36" s="115"/>
      <c r="BA36" s="14"/>
      <c r="BD36" s="15"/>
      <c r="BE36" s="115"/>
    </row>
    <row r="37" spans="1:57" s="7" customFormat="1" ht="11.25" x14ac:dyDescent="0.2">
      <c r="A37" s="7" t="s">
        <v>141</v>
      </c>
      <c r="C37" s="46">
        <f>+C30/C7</f>
        <v>9.6585804132973949E-2</v>
      </c>
      <c r="D37" s="35">
        <f>+D30/D7</f>
        <v>9.5138404280065134E-2</v>
      </c>
      <c r="E37" s="35">
        <f t="shared" ref="E37:AA37" si="75">+E30/E7</f>
        <v>0.11318656882366021</v>
      </c>
      <c r="F37" s="47">
        <f t="shared" si="75"/>
        <v>7.5150300601202411E-2</v>
      </c>
      <c r="G37" s="119">
        <f t="shared" si="75"/>
        <v>9.5591647331786544E-2</v>
      </c>
      <c r="H37" s="35">
        <f t="shared" si="75"/>
        <v>0.1288109756097561</v>
      </c>
      <c r="I37" s="35">
        <f t="shared" si="75"/>
        <v>0.15548621944877794</v>
      </c>
      <c r="J37" s="35">
        <f t="shared" si="75"/>
        <v>0.12994350282485878</v>
      </c>
      <c r="K37" s="47">
        <f t="shared" si="75"/>
        <v>0.15114633455986412</v>
      </c>
      <c r="L37" s="119">
        <f t="shared" si="75"/>
        <v>0.14103491353803671</v>
      </c>
      <c r="M37" s="46">
        <f t="shared" si="75"/>
        <v>0.11889542316543084</v>
      </c>
      <c r="N37" s="35">
        <f t="shared" si="75"/>
        <v>0.11493957315505272</v>
      </c>
      <c r="O37" s="35">
        <f t="shared" si="75"/>
        <v>0.11499168448562604</v>
      </c>
      <c r="P37" s="47">
        <f t="shared" si="75"/>
        <v>8.9603960396039614E-2</v>
      </c>
      <c r="Q37" s="119">
        <f t="shared" si="75"/>
        <v>0.10953953517353106</v>
      </c>
      <c r="R37" s="46">
        <f t="shared" si="75"/>
        <v>0.10544774374561609</v>
      </c>
      <c r="S37" s="35">
        <f t="shared" si="75"/>
        <v>0.10831678799911758</v>
      </c>
      <c r="T37" s="35">
        <f t="shared" si="75"/>
        <v>0.12403585574317282</v>
      </c>
      <c r="U37" s="47">
        <f t="shared" si="75"/>
        <v>4.0727105384261386E-2</v>
      </c>
      <c r="V37" s="119">
        <f t="shared" si="75"/>
        <v>9.5471508940009997E-2</v>
      </c>
      <c r="W37" s="46">
        <f t="shared" si="75"/>
        <v>8.0461843766913232E-2</v>
      </c>
      <c r="X37" s="35">
        <f t="shared" si="75"/>
        <v>9.6938775510204092E-2</v>
      </c>
      <c r="Y37" s="35">
        <f t="shared" si="75"/>
        <v>0.11173927502494181</v>
      </c>
      <c r="Z37" s="47">
        <f t="shared" si="75"/>
        <v>9.0531874764239906E-2</v>
      </c>
      <c r="AA37" s="119">
        <f t="shared" si="75"/>
        <v>9.5328926939626482E-2</v>
      </c>
      <c r="AB37" s="46">
        <f t="shared" ref="AB37:AF37" si="76">+AB30/AB7</f>
        <v>5.7684467998369342E-2</v>
      </c>
      <c r="AC37" s="35">
        <f t="shared" ref="AC37:AD37" si="77">+AC30/AC7</f>
        <v>4.6030199707744759E-2</v>
      </c>
      <c r="AD37" s="35">
        <f t="shared" si="77"/>
        <v>0.12851814174296372</v>
      </c>
      <c r="AE37" s="47">
        <f t="shared" ref="AE37" si="78">+AE30/AE7</f>
        <v>0.12657304395403979</v>
      </c>
      <c r="AF37" s="119">
        <f t="shared" si="76"/>
        <v>9.4346099151669693E-2</v>
      </c>
      <c r="AG37" s="46">
        <f t="shared" ref="AG37:AK37" si="79">+AG30/AG7</f>
        <v>0.11907428144830161</v>
      </c>
      <c r="AH37" s="35">
        <f t="shared" ref="AH37:AI37" si="80">+AH30/AH7</f>
        <v>0.16494167898800721</v>
      </c>
      <c r="AI37" s="35">
        <f t="shared" si="80"/>
        <v>0.12212016262611051</v>
      </c>
      <c r="AJ37" s="35">
        <f t="shared" ref="AJ37" si="81">+AJ30/AJ7</f>
        <v>0.1174107832535146</v>
      </c>
      <c r="AK37" s="119">
        <f t="shared" si="79"/>
        <v>0.13082780243495257</v>
      </c>
      <c r="AL37" s="46">
        <f t="shared" ref="AL37:AP39" si="82">+AL30/AL7</f>
        <v>0.11917422583672194</v>
      </c>
      <c r="AM37" s="35">
        <f t="shared" si="82"/>
        <v>0.11281632653061223</v>
      </c>
      <c r="AN37" s="35">
        <f t="shared" ref="AN37:AO37" si="83">+AN30/AN7</f>
        <v>7.5429553264604807E-2</v>
      </c>
      <c r="AO37" s="35">
        <f t="shared" si="83"/>
        <v>5.8192955589586523E-2</v>
      </c>
      <c r="AP37" s="119">
        <f t="shared" si="82"/>
        <v>9.3196961337690454E-2</v>
      </c>
      <c r="AQ37" s="46">
        <f t="shared" ref="AQ37:AU37" si="84">+AQ30/AQ7</f>
        <v>6.3008514664143797E-2</v>
      </c>
      <c r="AR37" s="35">
        <v>4.5999999999999999E-2</v>
      </c>
      <c r="AS37" s="35">
        <v>6.4000000000000001E-2</v>
      </c>
      <c r="AT37" s="35">
        <v>-0.96199999999999997</v>
      </c>
      <c r="AU37" s="119">
        <f t="shared" si="84"/>
        <v>-0.17519214129383623</v>
      </c>
      <c r="AV37" s="46">
        <v>3.5000000000000003E-2</v>
      </c>
      <c r="AW37" s="35">
        <v>-1.351</v>
      </c>
      <c r="AX37" s="35">
        <v>5.7000000000000002E-2</v>
      </c>
      <c r="AY37" s="35">
        <v>4.0000000000000001E-3</v>
      </c>
      <c r="AZ37" s="119">
        <f>+AZ30/AZ7</f>
        <v>-0.31340983045041954</v>
      </c>
      <c r="BA37" s="46">
        <v>2.5000000000000001E-2</v>
      </c>
      <c r="BB37" s="35">
        <v>6.9000000000000006E-2</v>
      </c>
      <c r="BC37" s="35">
        <v>0.09</v>
      </c>
      <c r="BD37" s="35">
        <v>6.8000000000000005E-2</v>
      </c>
      <c r="BE37" s="119">
        <f>+BE30/BE7</f>
        <v>6.3334188911704309E-2</v>
      </c>
    </row>
    <row r="38" spans="1:57" s="7" customFormat="1" ht="11.25" x14ac:dyDescent="0.2">
      <c r="A38" s="7" t="s">
        <v>30</v>
      </c>
      <c r="C38" s="46">
        <f t="shared" ref="C38:C39" si="85">+C31/C8</f>
        <v>0.18257464512971119</v>
      </c>
      <c r="D38" s="35">
        <f t="shared" ref="D38:AA38" si="86">+D31/D8</f>
        <v>0.16845044206607726</v>
      </c>
      <c r="E38" s="35">
        <f t="shared" si="86"/>
        <v>0.17238095238095238</v>
      </c>
      <c r="F38" s="47">
        <f t="shared" si="86"/>
        <v>0.18147448015122875</v>
      </c>
      <c r="G38" s="119">
        <f t="shared" si="86"/>
        <v>0.17614176974310178</v>
      </c>
      <c r="H38" s="35">
        <f t="shared" si="86"/>
        <v>0.19790718835304821</v>
      </c>
      <c r="I38" s="35">
        <f t="shared" si="86"/>
        <v>0.2387425658453696</v>
      </c>
      <c r="J38" s="35">
        <f t="shared" si="86"/>
        <v>0.18570778334091942</v>
      </c>
      <c r="K38" s="47">
        <f t="shared" si="86"/>
        <v>0.19208537127612274</v>
      </c>
      <c r="L38" s="119">
        <f t="shared" si="86"/>
        <v>0.20415647921760391</v>
      </c>
      <c r="M38" s="46">
        <f t="shared" si="86"/>
        <v>0.18344709897610922</v>
      </c>
      <c r="N38" s="35">
        <f t="shared" si="86"/>
        <v>0.1841442953020134</v>
      </c>
      <c r="O38" s="35">
        <f t="shared" si="86"/>
        <v>0.15188762071992976</v>
      </c>
      <c r="P38" s="47">
        <f t="shared" si="86"/>
        <v>0.31673052362707538</v>
      </c>
      <c r="Q38" s="119">
        <f t="shared" si="86"/>
        <v>0.20940673436664886</v>
      </c>
      <c r="R38" s="46">
        <f t="shared" si="86"/>
        <v>0.17314884068810771</v>
      </c>
      <c r="S38" s="35">
        <f t="shared" si="86"/>
        <v>0.18919898513954334</v>
      </c>
      <c r="T38" s="35">
        <f t="shared" si="86"/>
        <v>0.17199211045364893</v>
      </c>
      <c r="U38" s="47">
        <f t="shared" si="86"/>
        <v>0.18265895953757225</v>
      </c>
      <c r="V38" s="119">
        <f t="shared" si="86"/>
        <v>0.17939979172583548</v>
      </c>
      <c r="W38" s="46">
        <f t="shared" si="86"/>
        <v>0.13541270445036138</v>
      </c>
      <c r="X38" s="35">
        <f t="shared" si="86"/>
        <v>0.15543071161048688</v>
      </c>
      <c r="Y38" s="35">
        <f t="shared" si="86"/>
        <v>0.16504491017964074</v>
      </c>
      <c r="Z38" s="47">
        <f t="shared" si="86"/>
        <v>0.18057100482017058</v>
      </c>
      <c r="AA38" s="119">
        <f t="shared" si="86"/>
        <v>0.15926134233220846</v>
      </c>
      <c r="AB38" s="46">
        <f t="shared" ref="AB38:AF38" si="87">+AB31/AB8</f>
        <v>0.11812366737739871</v>
      </c>
      <c r="AC38" s="35">
        <f t="shared" ref="AC38" si="88">+AC31/AC8</f>
        <v>-0.13991477272727271</v>
      </c>
      <c r="AD38" s="35">
        <f>+AD31/AD8</f>
        <v>0.13421160971593249</v>
      </c>
      <c r="AE38" s="47">
        <f>+AE31/AE8</f>
        <v>0.18827838827838828</v>
      </c>
      <c r="AF38" s="119">
        <f t="shared" si="87"/>
        <v>0.10323159784560143</v>
      </c>
      <c r="AG38" s="46">
        <f t="shared" ref="AG38:AG39" si="89">+AG31/AG8</f>
        <v>0.13664596273291926</v>
      </c>
      <c r="AH38" s="35">
        <f t="shared" ref="AH38:AI38" si="90">+AH31/AH8</f>
        <v>0.1133636739760033</v>
      </c>
      <c r="AI38" s="35">
        <f t="shared" si="90"/>
        <v>9.5076400679117143E-2</v>
      </c>
      <c r="AJ38" s="35">
        <f t="shared" ref="AJ38" si="91">+AJ31/AJ8</f>
        <v>0.11704545454545454</v>
      </c>
      <c r="AK38" s="119">
        <f t="shared" ref="AK38" si="92">+AK31/AK8</f>
        <v>0.11602763039343278</v>
      </c>
      <c r="AL38" s="46">
        <f t="shared" si="82"/>
        <v>7.6864823930329423E-2</v>
      </c>
      <c r="AM38" s="35">
        <f t="shared" si="82"/>
        <v>8.2276047673971536E-2</v>
      </c>
      <c r="AN38" s="35">
        <f t="shared" ref="AN38:AO38" si="93">+AN31/AN8</f>
        <v>0.10744936491589427</v>
      </c>
      <c r="AO38" s="35">
        <f t="shared" si="93"/>
        <v>8.7186261558784672E-2</v>
      </c>
      <c r="AP38" s="119">
        <f t="shared" si="82"/>
        <v>8.8884914602521695E-2</v>
      </c>
      <c r="AQ38" s="46">
        <f t="shared" ref="AQ38:AU38" si="94">+AQ31/AQ8</f>
        <v>8.9491736825693793E-2</v>
      </c>
      <c r="AR38" s="35">
        <v>0.10299999999999999</v>
      </c>
      <c r="AS38" s="35">
        <v>9.8000000000000004E-2</v>
      </c>
      <c r="AT38" s="35">
        <v>0.1</v>
      </c>
      <c r="AU38" s="119">
        <f t="shared" si="94"/>
        <v>9.7671511173620884E-2</v>
      </c>
      <c r="AV38" s="46">
        <v>7.4999999999999997E-2</v>
      </c>
      <c r="AW38" s="35">
        <v>-0.03</v>
      </c>
      <c r="AX38" s="35">
        <v>8.3000000000000004E-2</v>
      </c>
      <c r="AY38" s="35">
        <v>8.4000000000000005E-2</v>
      </c>
      <c r="AZ38" s="119">
        <f t="shared" ref="AZ38" si="95">+AZ31/AZ8</f>
        <v>5.1973206359454453E-2</v>
      </c>
      <c r="BA38" s="46">
        <v>9.5000000000000001E-2</v>
      </c>
      <c r="BB38" s="35">
        <v>0.127</v>
      </c>
      <c r="BC38" s="35">
        <v>0.40699999999999997</v>
      </c>
      <c r="BD38" s="35">
        <v>0.10100000000000001</v>
      </c>
      <c r="BE38" s="119">
        <f t="shared" ref="BE38" si="96">+BE31/BE8</f>
        <v>0.18202066999287242</v>
      </c>
    </row>
    <row r="39" spans="1:57" s="7" customFormat="1" ht="11.25" x14ac:dyDescent="0.2">
      <c r="A39" s="7" t="s">
        <v>142</v>
      </c>
      <c r="C39" s="46">
        <f t="shared" si="85"/>
        <v>8.4622671297758134E-2</v>
      </c>
      <c r="D39" s="35">
        <f t="shared" ref="D39:AA39" si="97">+D32/D9</f>
        <v>0.10212765957446808</v>
      </c>
      <c r="E39" s="35">
        <f t="shared" si="97"/>
        <v>0.11534058385804236</v>
      </c>
      <c r="F39" s="47">
        <f t="shared" si="97"/>
        <v>9.7663271420011979E-2</v>
      </c>
      <c r="G39" s="119">
        <f t="shared" si="97"/>
        <v>0.10034013605442176</v>
      </c>
      <c r="H39" s="35">
        <f t="shared" si="97"/>
        <v>0.10061538461538462</v>
      </c>
      <c r="I39" s="35">
        <f t="shared" si="97"/>
        <v>0.11419297727943348</v>
      </c>
      <c r="J39" s="35">
        <f t="shared" si="97"/>
        <v>0.10094173042966449</v>
      </c>
      <c r="K39" s="47">
        <f t="shared" si="97"/>
        <v>9.7695852534562214E-2</v>
      </c>
      <c r="L39" s="119">
        <f t="shared" si="97"/>
        <v>0.1034456816130003</v>
      </c>
      <c r="M39" s="46">
        <f t="shared" si="97"/>
        <v>7.765830346475508E-2</v>
      </c>
      <c r="N39" s="35">
        <f t="shared" si="97"/>
        <v>9.7790055248618779E-2</v>
      </c>
      <c r="O39" s="35">
        <f t="shared" si="97"/>
        <v>9.1689750692520777E-2</v>
      </c>
      <c r="P39" s="47">
        <f t="shared" si="97"/>
        <v>9.0277777777777776E-2</v>
      </c>
      <c r="Q39" s="119">
        <f t="shared" si="97"/>
        <v>8.9568191534843952E-2</v>
      </c>
      <c r="R39" s="46">
        <f t="shared" si="97"/>
        <v>6.5927479772250525E-2</v>
      </c>
      <c r="S39" s="35">
        <f t="shared" si="97"/>
        <v>8.7061344762925263E-2</v>
      </c>
      <c r="T39" s="35">
        <f t="shared" si="97"/>
        <v>7.4239464136198724E-2</v>
      </c>
      <c r="U39" s="47">
        <f t="shared" si="97"/>
        <v>5.3318207600680657E-2</v>
      </c>
      <c r="V39" s="119">
        <f t="shared" si="97"/>
        <v>7.0456308625431965E-2</v>
      </c>
      <c r="W39" s="46">
        <f t="shared" si="97"/>
        <v>5.6525599289730701E-2</v>
      </c>
      <c r="X39" s="35">
        <f t="shared" si="97"/>
        <v>8.0730545262043402E-2</v>
      </c>
      <c r="Y39" s="35">
        <f t="shared" si="97"/>
        <v>7.3374696520097107E-2</v>
      </c>
      <c r="Z39" s="47">
        <f t="shared" si="97"/>
        <v>7.3913043478260873E-2</v>
      </c>
      <c r="AA39" s="119">
        <f t="shared" si="97"/>
        <v>7.1468492385077534E-2</v>
      </c>
      <c r="AB39" s="46">
        <f t="shared" ref="AB39" si="98">+AB32/AB9</f>
        <v>8.1460674157303375E-2</v>
      </c>
      <c r="AC39" s="35">
        <f t="shared" ref="AC39:AD39" si="99">+AC32/AC9</f>
        <v>7.8311201906707525E-2</v>
      </c>
      <c r="AD39" s="35">
        <f t="shared" si="99"/>
        <v>0.11336356361696454</v>
      </c>
      <c r="AE39" s="47">
        <f t="shared" ref="AE39" si="100">+AE32/AE9</f>
        <v>9.6756307180482393E-2</v>
      </c>
      <c r="AF39" s="119">
        <f>+AF32/AF9</f>
        <v>9.3724531377343129E-2</v>
      </c>
      <c r="AG39" s="46">
        <f t="shared" si="89"/>
        <v>7.9160839160839158E-2</v>
      </c>
      <c r="AH39" s="35">
        <f t="shared" ref="AH39:AI39" si="101">+AH32/AH9</f>
        <v>0.10663167938931299</v>
      </c>
      <c r="AI39" s="35">
        <f t="shared" si="101"/>
        <v>9.7973778307508946E-2</v>
      </c>
      <c r="AJ39" s="35">
        <f t="shared" ref="AJ39" si="102">+AJ32/AJ9</f>
        <v>0.10768500948766603</v>
      </c>
      <c r="AK39" s="119">
        <f>+AK32/AK9</f>
        <v>9.8590678699468401E-2</v>
      </c>
      <c r="AL39" s="46">
        <f t="shared" si="82"/>
        <v>0.10195797516714422</v>
      </c>
      <c r="AM39" s="35">
        <f t="shared" si="82"/>
        <v>0.11113518197573656</v>
      </c>
      <c r="AN39" s="35">
        <f t="shared" ref="AN39:AO39" si="103">+AN32/AN9</f>
        <v>9.0952267869864628E-2</v>
      </c>
      <c r="AO39" s="35">
        <f t="shared" si="103"/>
        <v>8.8235294117647065E-2</v>
      </c>
      <c r="AP39" s="119">
        <f>+AP32/AP9</f>
        <v>9.867830871359369E-2</v>
      </c>
      <c r="AQ39" s="46">
        <f t="shared" ref="AQ39" si="104">+AQ32/AQ9</f>
        <v>7.7661909989023059E-2</v>
      </c>
      <c r="AR39" s="35">
        <v>9.8000000000000004E-2</v>
      </c>
      <c r="AS39" s="35">
        <v>7.9000000000000001E-2</v>
      </c>
      <c r="AT39" s="35">
        <v>9.1999999999999998E-2</v>
      </c>
      <c r="AU39" s="119">
        <f>+AU32/AU9</f>
        <v>8.6844948676391129E-2</v>
      </c>
      <c r="AV39" s="46">
        <v>7.0999999999999994E-2</v>
      </c>
      <c r="AW39" s="35">
        <v>-2.5000000000000001E-2</v>
      </c>
      <c r="AX39" s="35">
        <v>7.6999999999999999E-2</v>
      </c>
      <c r="AY39" s="35">
        <v>0.05</v>
      </c>
      <c r="AZ39" s="119">
        <f>+AZ32/AZ9</f>
        <v>4.178632969557726E-2</v>
      </c>
      <c r="BA39" s="46">
        <v>7.4999999999999997E-2</v>
      </c>
      <c r="BB39" s="35">
        <v>6.7000000000000004E-2</v>
      </c>
      <c r="BC39" s="35">
        <v>6.2E-2</v>
      </c>
      <c r="BD39" s="35">
        <v>2.3E-2</v>
      </c>
      <c r="BE39" s="119">
        <f>+BE32/BE9</f>
        <v>5.7192752674088645E-2</v>
      </c>
    </row>
    <row r="40" spans="1:57" s="7" customFormat="1" ht="11.25" x14ac:dyDescent="0.2">
      <c r="A40" s="22" t="s">
        <v>41</v>
      </c>
      <c r="B40" s="22"/>
      <c r="C40" s="48">
        <f t="shared" ref="C40:AA40" si="105">+C34/C10</f>
        <v>0.11043262264541501</v>
      </c>
      <c r="D40" s="49">
        <f t="shared" si="105"/>
        <v>0.11330592600020055</v>
      </c>
      <c r="E40" s="49">
        <f t="shared" si="105"/>
        <v>0.12635021306114358</v>
      </c>
      <c r="F40" s="50">
        <f t="shared" si="105"/>
        <v>9.4113910650010596E-2</v>
      </c>
      <c r="G40" s="123">
        <f t="shared" si="105"/>
        <v>0.11132952108649033</v>
      </c>
      <c r="H40" s="49">
        <f t="shared" si="105"/>
        <v>0.13512361466325662</v>
      </c>
      <c r="I40" s="49">
        <f t="shared" si="105"/>
        <v>0.16164354990092816</v>
      </c>
      <c r="J40" s="49">
        <f t="shared" si="105"/>
        <v>0.13225840446833176</v>
      </c>
      <c r="K40" s="50">
        <f t="shared" si="105"/>
        <v>0.14208254951864557</v>
      </c>
      <c r="L40" s="123">
        <f t="shared" si="105"/>
        <v>0.14285714285714288</v>
      </c>
      <c r="M40" s="48">
        <f t="shared" si="105"/>
        <v>0.12048318233885245</v>
      </c>
      <c r="N40" s="49">
        <f t="shared" si="105"/>
        <v>0.12534115030829882</v>
      </c>
      <c r="O40" s="49">
        <f t="shared" si="105"/>
        <v>0.11498464890561552</v>
      </c>
      <c r="P40" s="50">
        <f t="shared" si="105"/>
        <v>0.12849162011173185</v>
      </c>
      <c r="Q40" s="123">
        <f t="shared" si="105"/>
        <v>0.12229321973730919</v>
      </c>
      <c r="R40" s="48">
        <f t="shared" si="105"/>
        <v>0.11012830482115087</v>
      </c>
      <c r="S40" s="49">
        <f t="shared" si="105"/>
        <v>0.12117913832199549</v>
      </c>
      <c r="T40" s="49">
        <f t="shared" si="105"/>
        <v>0.11873568483737974</v>
      </c>
      <c r="U40" s="50">
        <f t="shared" si="105"/>
        <v>8.0061144549536639E-2</v>
      </c>
      <c r="V40" s="123">
        <f t="shared" si="105"/>
        <v>0.10781121911230822</v>
      </c>
      <c r="W40" s="48">
        <f t="shared" si="105"/>
        <v>8.5966582979828607E-2</v>
      </c>
      <c r="X40" s="49">
        <f t="shared" si="105"/>
        <v>0.10426969996702934</v>
      </c>
      <c r="Y40" s="49">
        <f t="shared" si="105"/>
        <v>0.11151456467360606</v>
      </c>
      <c r="Z40" s="50">
        <f t="shared" si="105"/>
        <v>0.10725827583195038</v>
      </c>
      <c r="AA40" s="123">
        <f t="shared" si="105"/>
        <v>0.10243029984218831</v>
      </c>
      <c r="AB40" s="48">
        <f t="shared" ref="AB40:AF40" si="106">+AB34/AB10</f>
        <v>7.5179340028694405E-2</v>
      </c>
      <c r="AC40" s="49">
        <f t="shared" ref="AC40:AD40" si="107">+AC34/AC10</f>
        <v>2.6860726541237719E-2</v>
      </c>
      <c r="AD40" s="49">
        <f t="shared" si="107"/>
        <v>0.12437893342166283</v>
      </c>
      <c r="AE40" s="49">
        <f t="shared" ref="AE40" si="108">+AE34/AE10</f>
        <v>0.13197969543147212</v>
      </c>
      <c r="AF40" s="123">
        <f t="shared" si="106"/>
        <v>9.5205831503200791E-2</v>
      </c>
      <c r="AG40" s="48">
        <f t="shared" ref="AG40:AK40" si="109">+AG34/AG10</f>
        <v>0.1109566426275089</v>
      </c>
      <c r="AH40" s="49">
        <f t="shared" ref="AH40:AI40" si="110">+AH34/AH10</f>
        <v>0.1353969754253308</v>
      </c>
      <c r="AI40" s="49">
        <f t="shared" si="110"/>
        <v>0.10930867192237718</v>
      </c>
      <c r="AJ40" s="49">
        <f t="shared" ref="AJ40" si="111">+AJ34/AJ10</f>
        <v>0.11418711081101358</v>
      </c>
      <c r="AK40" s="123">
        <f t="shared" si="109"/>
        <v>0.11749398730434094</v>
      </c>
      <c r="AL40" s="48">
        <f t="shared" ref="AL40:AP40" si="112">+AL34/AL10</f>
        <v>0.10406110564924752</v>
      </c>
      <c r="AM40" s="49">
        <f t="shared" si="112"/>
        <v>0.1071803327836906</v>
      </c>
      <c r="AN40" s="49">
        <f t="shared" si="112"/>
        <v>8.745364647713226E-2</v>
      </c>
      <c r="AO40" s="49">
        <f t="shared" ref="AO40" si="113">+AO34/AO10</f>
        <v>7.6266934269944797E-2</v>
      </c>
      <c r="AP40" s="123">
        <f t="shared" si="112"/>
        <v>9.423514096411291E-2</v>
      </c>
      <c r="AQ40" s="48">
        <f t="shared" ref="AQ40:AZ40" si="114">+AQ34/AQ10</f>
        <v>7.3582729070533953E-2</v>
      </c>
      <c r="AR40" s="49">
        <f t="shared" si="114"/>
        <v>7.8365542089747803E-2</v>
      </c>
      <c r="AS40" s="49">
        <v>7.8E-2</v>
      </c>
      <c r="AT40" s="49">
        <v>-0.32900000000000001</v>
      </c>
      <c r="AU40" s="123">
        <f t="shared" si="114"/>
        <v>-1.9131060461769631E-2</v>
      </c>
      <c r="AV40" s="48">
        <f t="shared" si="114"/>
        <v>5.7434588385449903E-2</v>
      </c>
      <c r="AW40" s="49">
        <f t="shared" si="114"/>
        <v>-0.54430267588162329</v>
      </c>
      <c r="AX40" s="49">
        <f t="shared" si="114"/>
        <v>7.0527366796768617E-2</v>
      </c>
      <c r="AY40" s="49">
        <f t="shared" si="114"/>
        <v>4.1366906474820143E-2</v>
      </c>
      <c r="AZ40" s="123">
        <f t="shared" si="114"/>
        <v>-9.8070079386805342E-2</v>
      </c>
      <c r="BA40" s="48">
        <f t="shared" ref="BA40:BE40" si="115">+BA34/BA10</f>
        <v>6.153996673515312E-2</v>
      </c>
      <c r="BB40" s="49">
        <f t="shared" si="115"/>
        <v>8.544423440453687E-2</v>
      </c>
      <c r="BC40" s="49">
        <f t="shared" si="115"/>
        <v>0.16509069857197994</v>
      </c>
      <c r="BD40" s="49">
        <v>3.4000000000000002E-2</v>
      </c>
      <c r="BE40" s="123">
        <f t="shared" si="115"/>
        <v>8.7790683337032382E-2</v>
      </c>
    </row>
    <row r="41" spans="1:57" s="7" customFormat="1" ht="9.9499999999999993" customHeight="1" thickBot="1" x14ac:dyDescent="0.25">
      <c r="C41" s="14"/>
      <c r="F41" s="15"/>
      <c r="G41" s="115"/>
      <c r="K41" s="15"/>
      <c r="L41" s="115"/>
      <c r="M41" s="14"/>
      <c r="P41" s="15"/>
      <c r="Q41" s="115"/>
      <c r="R41" s="14"/>
      <c r="U41" s="15"/>
      <c r="V41" s="115"/>
      <c r="W41" s="14"/>
      <c r="Z41" s="15"/>
      <c r="AA41" s="115"/>
      <c r="AB41" s="14"/>
      <c r="AE41" s="15"/>
      <c r="AF41" s="115"/>
      <c r="AG41" s="14"/>
      <c r="AJ41" s="15"/>
      <c r="AK41" s="115"/>
      <c r="AL41" s="14"/>
      <c r="AO41" s="15"/>
      <c r="AP41" s="115"/>
      <c r="AQ41" s="14"/>
      <c r="AT41" s="15"/>
      <c r="AU41" s="115"/>
      <c r="AV41" s="14"/>
      <c r="AY41" s="15"/>
      <c r="AZ41" s="115"/>
      <c r="BA41" s="14"/>
      <c r="BD41" s="15"/>
      <c r="BE41" s="115"/>
    </row>
    <row r="42" spans="1:57" s="7" customFormat="1" ht="12" thickBot="1" x14ac:dyDescent="0.25">
      <c r="A42" s="13" t="s">
        <v>146</v>
      </c>
      <c r="C42" s="14"/>
      <c r="F42" s="15"/>
      <c r="G42" s="115"/>
      <c r="K42" s="15"/>
      <c r="L42" s="115"/>
      <c r="M42" s="14"/>
      <c r="P42" s="15"/>
      <c r="Q42" s="115"/>
      <c r="R42" s="14"/>
      <c r="U42" s="15"/>
      <c r="V42" s="115"/>
      <c r="W42" s="14"/>
      <c r="Z42" s="15"/>
      <c r="AA42" s="115"/>
      <c r="AB42" s="14"/>
      <c r="AE42" s="15"/>
      <c r="AF42" s="115"/>
      <c r="AG42" s="14"/>
      <c r="AJ42" s="15"/>
      <c r="AK42" s="115"/>
      <c r="AL42" s="14"/>
      <c r="AO42" s="15"/>
      <c r="AP42" s="115"/>
      <c r="AQ42" s="14"/>
      <c r="AT42" s="15"/>
      <c r="AU42" s="115"/>
      <c r="AV42" s="14"/>
      <c r="AY42" s="15"/>
      <c r="AZ42" s="115"/>
      <c r="BA42" s="14"/>
      <c r="BD42" s="15"/>
      <c r="BE42" s="115"/>
    </row>
    <row r="43" spans="1:57" s="7" customFormat="1" ht="11.25" x14ac:dyDescent="0.2">
      <c r="A43" s="7" t="s">
        <v>141</v>
      </c>
      <c r="C43" s="40"/>
      <c r="D43" s="41"/>
      <c r="E43" s="41"/>
      <c r="F43" s="42"/>
      <c r="G43" s="121">
        <f>G30+46.6</f>
        <v>211.4</v>
      </c>
      <c r="H43" s="41"/>
      <c r="I43" s="41"/>
      <c r="J43" s="41"/>
      <c r="K43" s="42"/>
      <c r="L43" s="121">
        <f>L30+45.7</f>
        <v>260.2</v>
      </c>
      <c r="M43" s="40"/>
      <c r="N43" s="41"/>
      <c r="O43" s="41"/>
      <c r="P43" s="42"/>
      <c r="Q43" s="121">
        <f>Q30+46.9</f>
        <v>222.70000000000002</v>
      </c>
      <c r="R43" s="40">
        <f>R30+11.6</f>
        <v>56.7</v>
      </c>
      <c r="S43" s="41">
        <f>S30+11.9</f>
        <v>61</v>
      </c>
      <c r="T43" s="41">
        <f>T30+11.7</f>
        <v>71.2</v>
      </c>
      <c r="U43" s="42">
        <f>U30+12.1</f>
        <v>29.799999999999997</v>
      </c>
      <c r="V43" s="121">
        <f>SUM(R43:U43)</f>
        <v>218.7</v>
      </c>
      <c r="W43" s="40">
        <f>W30+24.8</f>
        <v>69.400000000000006</v>
      </c>
      <c r="X43" s="41">
        <f>X30+28.2</f>
        <v>83.3</v>
      </c>
      <c r="Y43" s="41">
        <f>Y30+27.5</f>
        <v>94.7</v>
      </c>
      <c r="Z43" s="42">
        <f>Z30+26.8</f>
        <v>74.8</v>
      </c>
      <c r="AA43" s="121">
        <f>SUM(W43:Z43)</f>
        <v>322.2</v>
      </c>
      <c r="AB43" s="40">
        <f>AB30+26.8</f>
        <v>55.1</v>
      </c>
      <c r="AC43" s="41">
        <f>AC30+26.3</f>
        <v>45.2</v>
      </c>
      <c r="AD43" s="41">
        <f>AD30+26.6</f>
        <v>102.4</v>
      </c>
      <c r="AE43" s="42">
        <f>AE30+27</f>
        <v>96.4</v>
      </c>
      <c r="AF43" s="121">
        <f>SUM(AB43:AE43)</f>
        <v>299.10000000000002</v>
      </c>
      <c r="AG43" s="40">
        <f>AG30+26.1</f>
        <v>89.9</v>
      </c>
      <c r="AH43" s="41">
        <f>AH30+26.4</f>
        <v>126.80000000000001</v>
      </c>
      <c r="AI43" s="41">
        <f>AI30+27.3</f>
        <v>108.39999999999999</v>
      </c>
      <c r="AJ43" s="42">
        <v>103</v>
      </c>
      <c r="AK43" s="121">
        <f>SUM(AG43:AJ43)</f>
        <v>428.1</v>
      </c>
      <c r="AL43" s="40">
        <f>AL30+26.2</f>
        <v>102.4</v>
      </c>
      <c r="AM43" s="41">
        <f>+AM30+26.2</f>
        <v>95.3</v>
      </c>
      <c r="AN43" s="41">
        <f>+AN30+25.7</f>
        <v>69.599999999999994</v>
      </c>
      <c r="AO43" s="41">
        <f>+AO30+26</f>
        <v>56.4</v>
      </c>
      <c r="AP43" s="121">
        <f>SUM(AL43:AO43)</f>
        <v>323.69999999999993</v>
      </c>
      <c r="AQ43" s="40">
        <f>AQ30+25.6</f>
        <v>58.9</v>
      </c>
      <c r="AR43" s="41">
        <f>AR30+25.5</f>
        <v>48.5</v>
      </c>
      <c r="AS43" s="41">
        <f>AS30+26.2</f>
        <v>57.3</v>
      </c>
      <c r="AT43" s="41">
        <f>AT30+26.6</f>
        <v>-405</v>
      </c>
      <c r="AU43" s="121">
        <f>SUM(AQ43:AT43)</f>
        <v>-240.3</v>
      </c>
      <c r="AV43" s="40">
        <f>AV30+14.6</f>
        <v>30.299999999999997</v>
      </c>
      <c r="AW43" s="41">
        <f>AW30+14.3</f>
        <v>-577.5</v>
      </c>
      <c r="AX43" s="41">
        <f>AX30+14.8</f>
        <v>40.299999999999997</v>
      </c>
      <c r="AY43" s="41">
        <f>AY30+15.3</f>
        <v>16.900000000000002</v>
      </c>
      <c r="AZ43" s="121">
        <f>SUM(AV43:AY43)</f>
        <v>-490.00000000000006</v>
      </c>
      <c r="BA43" s="40">
        <f>BA30+13</f>
        <v>22.6</v>
      </c>
      <c r="BB43" s="41">
        <f>BB30+13.3</f>
        <v>40.5</v>
      </c>
      <c r="BC43" s="41">
        <f>BC30+13.2</f>
        <v>49.599999999999994</v>
      </c>
      <c r="BD43" s="41">
        <f>BD30+15.6</f>
        <v>41.1</v>
      </c>
      <c r="BE43" s="121">
        <f>SUM(BA43:BD43)</f>
        <v>153.79999999999998</v>
      </c>
    </row>
    <row r="44" spans="1:57" s="7" customFormat="1" ht="11.25" x14ac:dyDescent="0.2">
      <c r="A44" s="7" t="s">
        <v>30</v>
      </c>
      <c r="C44" s="40"/>
      <c r="D44" s="41"/>
      <c r="E44" s="41"/>
      <c r="F44" s="42"/>
      <c r="G44" s="121">
        <f>G31+28.2</f>
        <v>176.29999999999998</v>
      </c>
      <c r="H44" s="41"/>
      <c r="I44" s="41"/>
      <c r="J44" s="41"/>
      <c r="K44" s="42"/>
      <c r="L44" s="121">
        <f>L31+29.7</f>
        <v>213.39999999999998</v>
      </c>
      <c r="M44" s="40"/>
      <c r="N44" s="41"/>
      <c r="O44" s="41"/>
      <c r="P44" s="42"/>
      <c r="Q44" s="121">
        <f>Q31+31.2</f>
        <v>227.1</v>
      </c>
      <c r="R44" s="40">
        <f>R31+9.1</f>
        <v>55.4</v>
      </c>
      <c r="S44" s="41">
        <f>S31+9.8</f>
        <v>62</v>
      </c>
      <c r="T44" s="41">
        <f>T31+9.8</f>
        <v>53.400000000000006</v>
      </c>
      <c r="U44" s="42">
        <f>U31+10.3</f>
        <v>57.7</v>
      </c>
      <c r="V44" s="121">
        <f t="shared" ref="V44" si="116">SUM(R44:U44)</f>
        <v>228.5</v>
      </c>
      <c r="W44" s="40">
        <f>W31+10.2</f>
        <v>45.8</v>
      </c>
      <c r="X44" s="41">
        <f>X31+10.4</f>
        <v>51.9</v>
      </c>
      <c r="Y44" s="41">
        <f>Y31+10.4</f>
        <v>54.5</v>
      </c>
      <c r="Z44" s="42">
        <f>Z31+10.8</f>
        <v>59.5</v>
      </c>
      <c r="AA44" s="121">
        <f>SUM(W44:Z44)</f>
        <v>211.7</v>
      </c>
      <c r="AB44" s="40">
        <f>AB31+11.2</f>
        <v>38.9</v>
      </c>
      <c r="AC44" s="41">
        <f>AC31+10.6</f>
        <v>-9.1</v>
      </c>
      <c r="AD44" s="41">
        <f>AD31+10.7</f>
        <v>43.3</v>
      </c>
      <c r="AE44" s="42">
        <f>AE31+11.8</f>
        <v>63.2</v>
      </c>
      <c r="AF44" s="121">
        <f>SUM(AB44:AE44)</f>
        <v>136.30000000000001</v>
      </c>
      <c r="AG44" s="40">
        <f>AG31+11.1</f>
        <v>46.300000000000004</v>
      </c>
      <c r="AH44" s="41">
        <f>AH31+12.2</f>
        <v>39.599999999999994</v>
      </c>
      <c r="AI44" s="41">
        <f>AI31+11.7</f>
        <v>34.099999999999994</v>
      </c>
      <c r="AJ44" s="42">
        <v>40.700000000000003</v>
      </c>
      <c r="AK44" s="121">
        <f>SUM(AG44:AJ44)</f>
        <v>160.69999999999999</v>
      </c>
      <c r="AL44" s="40">
        <f>AL31+10.8</f>
        <v>31.1</v>
      </c>
      <c r="AM44" s="41">
        <f>+AM31+9.9</f>
        <v>31.299999999999997</v>
      </c>
      <c r="AN44" s="41">
        <f>+AN31+9.7</f>
        <v>41</v>
      </c>
      <c r="AO44" s="41">
        <f>+AO31+10.1</f>
        <v>36.5</v>
      </c>
      <c r="AP44" s="121">
        <f>SUM(AL44:AO44)</f>
        <v>139.9</v>
      </c>
      <c r="AQ44" s="40">
        <f>AQ31+10.7</f>
        <v>39.4</v>
      </c>
      <c r="AR44" s="41">
        <f>AR31+10.3</f>
        <v>43.400000000000006</v>
      </c>
      <c r="AS44" s="41">
        <f>AS31+10.7</f>
        <v>41.9</v>
      </c>
      <c r="AT44" s="41">
        <f>AT31+9.4</f>
        <v>41.4</v>
      </c>
      <c r="AU44" s="121">
        <f>SUM(AQ44:AT44)</f>
        <v>166.10000000000002</v>
      </c>
      <c r="AV44" s="40">
        <f>AV31+10.1</f>
        <v>33.799999999999997</v>
      </c>
      <c r="AW44" s="41">
        <f>AW31+10.3</f>
        <v>0.80000000000000071</v>
      </c>
      <c r="AX44" s="41">
        <f>AX31+11</f>
        <v>35.799999999999997</v>
      </c>
      <c r="AY44" s="41">
        <f>AY31+11.6</f>
        <v>37</v>
      </c>
      <c r="AZ44" s="121">
        <f>SUM(AV44:AY44)</f>
        <v>107.39999999999999</v>
      </c>
      <c r="BA44" s="40">
        <f>BA31+10.4</f>
        <v>38.799999999999997</v>
      </c>
      <c r="BB44" s="41">
        <f>BB31+8.2</f>
        <v>46.900000000000006</v>
      </c>
      <c r="BC44" s="41">
        <f>BC31+7.9</f>
        <v>120.80000000000001</v>
      </c>
      <c r="BD44" s="41">
        <f>BD31+8.2</f>
        <v>32.5</v>
      </c>
      <c r="BE44" s="121">
        <f>SUM(BA44:BD44)</f>
        <v>239</v>
      </c>
    </row>
    <row r="45" spans="1:57" s="7" customFormat="1" ht="11.25" x14ac:dyDescent="0.2">
      <c r="A45" s="7" t="s">
        <v>142</v>
      </c>
      <c r="C45" s="40"/>
      <c r="D45" s="41"/>
      <c r="E45" s="41"/>
      <c r="F45" s="42"/>
      <c r="G45" s="121">
        <f>G32+23.9</f>
        <v>159.6</v>
      </c>
      <c r="H45" s="41"/>
      <c r="I45" s="41"/>
      <c r="J45" s="41"/>
      <c r="K45" s="42"/>
      <c r="L45" s="121">
        <f>L32+23.5</f>
        <v>161</v>
      </c>
      <c r="M45" s="40"/>
      <c r="N45" s="41"/>
      <c r="O45" s="41"/>
      <c r="P45" s="42"/>
      <c r="Q45" s="121">
        <f>Q32+25.3</f>
        <v>151</v>
      </c>
      <c r="R45" s="40">
        <f>R32+6.7</f>
        <v>28.7</v>
      </c>
      <c r="S45" s="41">
        <f>S32+6.6</f>
        <v>39.1</v>
      </c>
      <c r="T45" s="41">
        <f>T32+6.6</f>
        <v>33.200000000000003</v>
      </c>
      <c r="U45" s="42">
        <f>U32+7.1</f>
        <v>25.9</v>
      </c>
      <c r="V45" s="121">
        <f>SUM(R45:U45)</f>
        <v>126.9</v>
      </c>
      <c r="W45" s="40">
        <f>W32+6.6</f>
        <v>25.700000000000003</v>
      </c>
      <c r="X45" s="41">
        <f>X32+6.7</f>
        <v>37.200000000000003</v>
      </c>
      <c r="Y45" s="41">
        <f>Y32+6.4</f>
        <v>33.6</v>
      </c>
      <c r="Z45" s="42">
        <f>Z32+6</f>
        <v>31.5</v>
      </c>
      <c r="AA45" s="121">
        <f t="shared" ref="AA45:AA46" si="117">SUM(W45:Z45)</f>
        <v>128</v>
      </c>
      <c r="AB45" s="40">
        <f>AB32+6.5</f>
        <v>32.6</v>
      </c>
      <c r="AC45" s="41">
        <f>AC32+6.3</f>
        <v>29.3</v>
      </c>
      <c r="AD45" s="41">
        <f>AD32+6.3</f>
        <v>48.8</v>
      </c>
      <c r="AE45" s="42">
        <f>AE32+6.4</f>
        <v>41.3</v>
      </c>
      <c r="AF45" s="121">
        <f t="shared" ref="AF45:AF46" si="118">SUM(AB45:AE45)</f>
        <v>152</v>
      </c>
      <c r="AG45" s="40">
        <f>AG32+6.1</f>
        <v>34.4</v>
      </c>
      <c r="AH45" s="41">
        <f>AH32+6</f>
        <v>50.7</v>
      </c>
      <c r="AI45" s="41">
        <f>AI32+6</f>
        <v>47.1</v>
      </c>
      <c r="AJ45" s="42">
        <v>51.3</v>
      </c>
      <c r="AK45" s="121">
        <f t="shared" ref="AK45:AK46" si="119">SUM(AG45:AJ45)</f>
        <v>183.5</v>
      </c>
      <c r="AL45" s="40">
        <f>AL32+5.9</f>
        <v>48.6</v>
      </c>
      <c r="AM45" s="41">
        <f>+AM32+5.9</f>
        <v>57.199999999999996</v>
      </c>
      <c r="AN45" s="41">
        <f>+AN32+5.7</f>
        <v>44</v>
      </c>
      <c r="AO45" s="41">
        <f>+AO32+5.7</f>
        <v>38.400000000000006</v>
      </c>
      <c r="AP45" s="121">
        <f t="shared" ref="AP45:AP46" si="120">SUM(AL45:AO45)</f>
        <v>188.20000000000002</v>
      </c>
      <c r="AQ45" s="40">
        <f>AQ32+5.8</f>
        <v>34.1</v>
      </c>
      <c r="AR45" s="41">
        <f>AR32+5.7</f>
        <v>44.6</v>
      </c>
      <c r="AS45" s="41">
        <f>AS32+5.5</f>
        <v>35</v>
      </c>
      <c r="AT45" s="41">
        <f>AT32+5.5</f>
        <v>37.4</v>
      </c>
      <c r="AU45" s="121">
        <f t="shared" ref="AU45:AU46" si="121">SUM(AQ45:AT45)</f>
        <v>151.1</v>
      </c>
      <c r="AV45" s="40">
        <f>AV32+5.3</f>
        <v>28.900000000000002</v>
      </c>
      <c r="AW45" s="41">
        <f>AW32+5.5</f>
        <v>-3.9000000000000004</v>
      </c>
      <c r="AX45" s="41">
        <f>AX32+5.4</f>
        <v>32.799999999999997</v>
      </c>
      <c r="AY45" s="41">
        <f>AY32+5.5</f>
        <v>22.1</v>
      </c>
      <c r="AZ45" s="121">
        <f t="shared" ref="AZ45:AZ46" si="122">SUM(AV45:AY45)</f>
        <v>79.900000000000006</v>
      </c>
      <c r="BA45" s="40">
        <f>BA32+4.9</f>
        <v>29.700000000000003</v>
      </c>
      <c r="BB45" s="41">
        <f>BB32+4.6</f>
        <v>29</v>
      </c>
      <c r="BC45" s="41">
        <f>BC32+4.4</f>
        <v>26.4</v>
      </c>
      <c r="BD45" s="41">
        <f>BD32+4.4</f>
        <v>11.8</v>
      </c>
      <c r="BE45" s="121">
        <f t="shared" ref="BE45:BE46" si="123">SUM(BA45:BD45)</f>
        <v>96.899999999999991</v>
      </c>
    </row>
    <row r="46" spans="1:57" s="7" customFormat="1" ht="11.25" x14ac:dyDescent="0.2">
      <c r="A46" s="7" t="s">
        <v>74</v>
      </c>
      <c r="C46" s="19"/>
      <c r="D46" s="20"/>
      <c r="E46" s="20"/>
      <c r="F46" s="21"/>
      <c r="G46" s="143">
        <f>G33+14.5</f>
        <v>2</v>
      </c>
      <c r="H46" s="131"/>
      <c r="I46" s="131"/>
      <c r="J46" s="131"/>
      <c r="K46" s="132"/>
      <c r="L46" s="143">
        <f>L33+16.5</f>
        <v>16.5</v>
      </c>
      <c r="M46" s="130"/>
      <c r="N46" s="131"/>
      <c r="O46" s="131"/>
      <c r="P46" s="132"/>
      <c r="Q46" s="143">
        <f>Q33+22.5</f>
        <v>7.3999999999999986</v>
      </c>
      <c r="R46" s="130">
        <f>R33+6</f>
        <v>5.9</v>
      </c>
      <c r="S46" s="131">
        <f>S33+5.5</f>
        <v>5.3</v>
      </c>
      <c r="T46" s="131">
        <f>T33+5.7</f>
        <v>5.6000000000000005</v>
      </c>
      <c r="U46" s="132">
        <f>U33+5.6</f>
        <v>5.5</v>
      </c>
      <c r="V46" s="143">
        <f>SUM(R46:U46)</f>
        <v>22.3</v>
      </c>
      <c r="W46" s="19">
        <f>W33+4.7</f>
        <v>4.7</v>
      </c>
      <c r="X46" s="55">
        <f>X33+4.7</f>
        <v>4.1000000000000005</v>
      </c>
      <c r="Y46" s="55">
        <f>Y33+4.1</f>
        <v>3.8</v>
      </c>
      <c r="Z46" s="21">
        <f>Z33+3.6</f>
        <v>4.2</v>
      </c>
      <c r="AA46" s="117">
        <f t="shared" si="117"/>
        <v>16.8</v>
      </c>
      <c r="AB46" s="19">
        <f>AB33+3</f>
        <v>-0.5</v>
      </c>
      <c r="AC46" s="55">
        <f>AC33+3.3</f>
        <v>3.8</v>
      </c>
      <c r="AD46" s="55">
        <f>AD33+3.4</f>
        <v>2.7</v>
      </c>
      <c r="AE46" s="21">
        <f>AE33+3.2</f>
        <v>3.5</v>
      </c>
      <c r="AF46" s="117">
        <f t="shared" si="118"/>
        <v>9.5</v>
      </c>
      <c r="AG46" s="19">
        <f>AG33+2.8</f>
        <v>3.1999999999999997</v>
      </c>
      <c r="AH46" s="55">
        <f>AH33+3.5</f>
        <v>2.9</v>
      </c>
      <c r="AI46" s="55">
        <f>AI33+1.6</f>
        <v>1.2000000000000002</v>
      </c>
      <c r="AJ46" s="21">
        <f>AJ33+3.8</f>
        <v>3.6999999999999997</v>
      </c>
      <c r="AK46" s="117">
        <f t="shared" si="119"/>
        <v>11</v>
      </c>
      <c r="AL46" s="19">
        <f>+AL33+2.8</f>
        <v>1.1999999999999997</v>
      </c>
      <c r="AM46" s="55">
        <f>+AM33+2.5</f>
        <v>3.7</v>
      </c>
      <c r="AN46" s="55">
        <f>+AN33+3</f>
        <v>2.7</v>
      </c>
      <c r="AO46" s="55">
        <f>+AO33+3.7</f>
        <v>5.4</v>
      </c>
      <c r="AP46" s="117">
        <f t="shared" si="120"/>
        <v>13</v>
      </c>
      <c r="AQ46" s="19">
        <f>+AQ33+3.3</f>
        <v>2.2999999999999998</v>
      </c>
      <c r="AR46" s="131">
        <f>+AR33+3.2</f>
        <v>3.9000000000000004</v>
      </c>
      <c r="AS46" s="131">
        <f>+AS33+2.6</f>
        <v>2.2000000000000002</v>
      </c>
      <c r="AT46" s="131">
        <f>+AT33+3.3</f>
        <v>4.2</v>
      </c>
      <c r="AU46" s="117">
        <f t="shared" si="121"/>
        <v>12.600000000000001</v>
      </c>
      <c r="AV46" s="19">
        <f>+AV33+2.9</f>
        <v>2.9</v>
      </c>
      <c r="AW46" s="55">
        <f>+AW33+2.5</f>
        <v>-1.1000000000000001</v>
      </c>
      <c r="AX46" s="55">
        <f>+AX33+5.2</f>
        <v>5.2</v>
      </c>
      <c r="AY46" s="131">
        <f>AY33+1.7</f>
        <v>1.8</v>
      </c>
      <c r="AZ46" s="117">
        <f t="shared" si="122"/>
        <v>8.8000000000000007</v>
      </c>
      <c r="BA46" s="19">
        <f>+BA33+3.3</f>
        <v>3.4</v>
      </c>
      <c r="BB46" s="55">
        <f>+BB33+3.6</f>
        <v>3.7</v>
      </c>
      <c r="BC46" s="55">
        <f>+BC33+3.9</f>
        <v>3.6999999999999997</v>
      </c>
      <c r="BD46" s="131">
        <f>BD33+3.5</f>
        <v>-22.1</v>
      </c>
      <c r="BE46" s="117">
        <f t="shared" si="123"/>
        <v>-11.300000000000002</v>
      </c>
    </row>
    <row r="47" spans="1:57" s="7" customFormat="1" ht="11.25" x14ac:dyDescent="0.2">
      <c r="A47" s="22" t="s">
        <v>31</v>
      </c>
      <c r="C47" s="43"/>
      <c r="D47" s="44"/>
      <c r="E47" s="44"/>
      <c r="F47" s="45"/>
      <c r="G47" s="122">
        <f>SUM(G43:G46)</f>
        <v>549.29999999999995</v>
      </c>
      <c r="H47" s="44"/>
      <c r="I47" s="24"/>
      <c r="J47" s="24"/>
      <c r="K47" s="145"/>
      <c r="L47" s="122">
        <f>SUM(L43:L46)</f>
        <v>651.09999999999991</v>
      </c>
      <c r="M47" s="43"/>
      <c r="N47" s="44"/>
      <c r="O47" s="44"/>
      <c r="P47" s="45"/>
      <c r="Q47" s="122">
        <f t="shared" ref="Q47:AA47" si="124">SUM(Q42:Q46)</f>
        <v>608.19999999999993</v>
      </c>
      <c r="R47" s="43">
        <f t="shared" si="124"/>
        <v>146.69999999999999</v>
      </c>
      <c r="S47" s="44">
        <f t="shared" si="124"/>
        <v>167.4</v>
      </c>
      <c r="T47" s="44">
        <f t="shared" si="124"/>
        <v>163.4</v>
      </c>
      <c r="U47" s="45">
        <f t="shared" si="124"/>
        <v>118.9</v>
      </c>
      <c r="V47" s="122">
        <f t="shared" si="124"/>
        <v>596.4</v>
      </c>
      <c r="W47" s="43">
        <f t="shared" si="124"/>
        <v>145.6</v>
      </c>
      <c r="X47" s="44">
        <f t="shared" si="124"/>
        <v>176.49999999999997</v>
      </c>
      <c r="Y47" s="44">
        <f t="shared" si="124"/>
        <v>186.6</v>
      </c>
      <c r="Z47" s="45">
        <f t="shared" si="124"/>
        <v>170</v>
      </c>
      <c r="AA47" s="122">
        <f t="shared" si="124"/>
        <v>678.69999999999993</v>
      </c>
      <c r="AB47" s="43">
        <f t="shared" ref="AB47:AF47" si="125">SUM(AB42:AB46)</f>
        <v>126.1</v>
      </c>
      <c r="AC47" s="44">
        <f t="shared" ref="AC47:AE47" si="126">SUM(AC42:AC46)</f>
        <v>69.2</v>
      </c>
      <c r="AD47" s="44">
        <f t="shared" si="126"/>
        <v>197.2</v>
      </c>
      <c r="AE47" s="45">
        <f t="shared" si="126"/>
        <v>204.40000000000003</v>
      </c>
      <c r="AF47" s="122">
        <f t="shared" si="125"/>
        <v>596.90000000000009</v>
      </c>
      <c r="AG47" s="43">
        <f t="shared" ref="AG47:AK47" si="127">SUM(AG42:AG46)</f>
        <v>173.8</v>
      </c>
      <c r="AH47" s="44">
        <f t="shared" si="127"/>
        <v>220.00000000000003</v>
      </c>
      <c r="AI47" s="44">
        <f t="shared" ref="AI47:AJ47" si="128">SUM(AI42:AI46)</f>
        <v>190.79999999999998</v>
      </c>
      <c r="AJ47" s="44">
        <f t="shared" si="128"/>
        <v>198.7</v>
      </c>
      <c r="AK47" s="122">
        <f t="shared" si="127"/>
        <v>783.3</v>
      </c>
      <c r="AL47" s="43">
        <f t="shared" ref="AL47:AP47" si="129">SUM(AL42:AL46)</f>
        <v>183.29999999999998</v>
      </c>
      <c r="AM47" s="44">
        <f t="shared" si="129"/>
        <v>187.49999999999997</v>
      </c>
      <c r="AN47" s="44">
        <f t="shared" si="129"/>
        <v>157.29999999999998</v>
      </c>
      <c r="AO47" s="44">
        <f t="shared" si="129"/>
        <v>136.70000000000002</v>
      </c>
      <c r="AP47" s="122">
        <f t="shared" si="129"/>
        <v>664.8</v>
      </c>
      <c r="AQ47" s="43">
        <f t="shared" ref="AQ47:AZ47" si="130">SUM(AQ42:AQ46)</f>
        <v>134.70000000000002</v>
      </c>
      <c r="AR47" s="44">
        <f t="shared" ref="AR47:AS47" si="131">SUM(AR42:AR46)</f>
        <v>140.4</v>
      </c>
      <c r="AS47" s="44">
        <f t="shared" si="131"/>
        <v>136.39999999999998</v>
      </c>
      <c r="AT47" s="44">
        <f t="shared" ref="AT47" si="132">SUM(AT42:AT46)</f>
        <v>-322.00000000000006</v>
      </c>
      <c r="AU47" s="122">
        <f t="shared" si="130"/>
        <v>89.5</v>
      </c>
      <c r="AV47" s="43">
        <f t="shared" si="130"/>
        <v>95.9</v>
      </c>
      <c r="AW47" s="44">
        <f t="shared" si="130"/>
        <v>-581.70000000000005</v>
      </c>
      <c r="AX47" s="44">
        <f t="shared" si="130"/>
        <v>114.1</v>
      </c>
      <c r="AY47" s="44">
        <f t="shared" si="130"/>
        <v>77.8</v>
      </c>
      <c r="AZ47" s="122">
        <f t="shared" si="130"/>
        <v>-293.90000000000003</v>
      </c>
      <c r="BA47" s="43">
        <f t="shared" ref="BA47:BE47" si="133">SUM(BA42:BA46)</f>
        <v>94.5</v>
      </c>
      <c r="BB47" s="44">
        <f>SUM(BB43:BB46)</f>
        <v>120.10000000000001</v>
      </c>
      <c r="BC47" s="44">
        <f t="shared" si="133"/>
        <v>200.5</v>
      </c>
      <c r="BD47" s="44">
        <f t="shared" si="133"/>
        <v>63.29999999999999</v>
      </c>
      <c r="BE47" s="122">
        <f t="shared" si="133"/>
        <v>478.39999999999992</v>
      </c>
    </row>
    <row r="48" spans="1:57" s="7" customFormat="1" ht="9.9499999999999993" customHeight="1" thickBot="1" x14ac:dyDescent="0.25">
      <c r="C48" s="14"/>
      <c r="F48" s="15"/>
      <c r="G48" s="115"/>
      <c r="K48" s="15"/>
      <c r="L48" s="115"/>
      <c r="M48" s="14"/>
      <c r="P48" s="15"/>
      <c r="Q48" s="115"/>
      <c r="R48" s="14"/>
      <c r="U48" s="15"/>
      <c r="V48" s="115"/>
      <c r="W48" s="14"/>
      <c r="Z48" s="15"/>
      <c r="AA48" s="115"/>
      <c r="AB48" s="14"/>
      <c r="AE48" s="15"/>
      <c r="AF48" s="115"/>
      <c r="AG48" s="14"/>
      <c r="AJ48" s="15"/>
      <c r="AK48" s="115"/>
      <c r="AL48" s="14"/>
      <c r="AO48" s="15"/>
      <c r="AP48" s="115"/>
      <c r="AQ48" s="14"/>
      <c r="AT48" s="15"/>
      <c r="AU48" s="115"/>
      <c r="AV48" s="14"/>
      <c r="AY48" s="15"/>
      <c r="AZ48" s="115"/>
      <c r="BA48" s="14"/>
      <c r="BD48" s="15"/>
      <c r="BE48" s="115"/>
    </row>
    <row r="49" spans="1:57" s="7" customFormat="1" ht="12" thickBot="1" x14ac:dyDescent="0.25">
      <c r="A49" s="13" t="s">
        <v>147</v>
      </c>
      <c r="C49" s="14"/>
      <c r="F49" s="15"/>
      <c r="G49" s="115"/>
      <c r="K49" s="15"/>
      <c r="L49" s="115"/>
      <c r="M49" s="14"/>
      <c r="P49" s="15"/>
      <c r="Q49" s="115"/>
      <c r="R49" s="14"/>
      <c r="U49" s="15"/>
      <c r="V49" s="115"/>
      <c r="W49" s="14"/>
      <c r="Z49" s="15"/>
      <c r="AA49" s="115"/>
      <c r="AB49" s="14"/>
      <c r="AE49" s="15"/>
      <c r="AF49" s="115"/>
      <c r="AG49" s="14"/>
      <c r="AJ49" s="15"/>
      <c r="AK49" s="115"/>
      <c r="AL49" s="14"/>
      <c r="AO49" s="15"/>
      <c r="AP49" s="115"/>
      <c r="AQ49" s="14"/>
      <c r="AT49" s="15"/>
      <c r="AU49" s="115"/>
      <c r="AV49" s="14"/>
      <c r="AY49" s="15"/>
      <c r="AZ49" s="115"/>
      <c r="BA49" s="14"/>
      <c r="BD49" s="15"/>
      <c r="BE49" s="115"/>
    </row>
    <row r="50" spans="1:57" s="7" customFormat="1" ht="11.25" x14ac:dyDescent="0.2">
      <c r="A50" s="7" t="s">
        <v>141</v>
      </c>
      <c r="C50" s="46"/>
      <c r="D50" s="35"/>
      <c r="E50" s="35"/>
      <c r="F50" s="47"/>
      <c r="G50" s="120">
        <f>+G43/G7</f>
        <v>0.12262180974477958</v>
      </c>
      <c r="H50" s="33"/>
      <c r="I50" s="33"/>
      <c r="J50" s="33"/>
      <c r="K50" s="34"/>
      <c r="L50" s="120">
        <f>+L43/L7</f>
        <v>0.17108291143401932</v>
      </c>
      <c r="M50" s="32"/>
      <c r="N50" s="33"/>
      <c r="O50" s="33"/>
      <c r="P50" s="34"/>
      <c r="Q50" s="120">
        <f t="shared" ref="Q50:AA50" si="134">+Q43/Q7</f>
        <v>0.13876253972210106</v>
      </c>
      <c r="R50" s="32">
        <f t="shared" si="134"/>
        <v>0.132569558101473</v>
      </c>
      <c r="S50" s="33">
        <f t="shared" si="134"/>
        <v>0.13456871828810943</v>
      </c>
      <c r="T50" s="33">
        <f t="shared" si="134"/>
        <v>0.14842609964561185</v>
      </c>
      <c r="U50" s="34">
        <f t="shared" si="134"/>
        <v>6.8568798895536118E-2</v>
      </c>
      <c r="V50" s="120">
        <f t="shared" si="134"/>
        <v>0.12181808054364171</v>
      </c>
      <c r="W50" s="46">
        <f t="shared" si="134"/>
        <v>0.12520295868663181</v>
      </c>
      <c r="X50" s="35">
        <f t="shared" si="134"/>
        <v>0.14655172413793102</v>
      </c>
      <c r="Y50" s="35">
        <f t="shared" si="134"/>
        <v>0.15746591286997008</v>
      </c>
      <c r="Z50" s="47">
        <f t="shared" si="134"/>
        <v>0.14107883817427383</v>
      </c>
      <c r="AA50" s="119">
        <f t="shared" si="134"/>
        <v>0.14292685090715521</v>
      </c>
      <c r="AB50" s="46">
        <f t="shared" ref="AB50:AF50" si="135">+AB43/AB7</f>
        <v>0.11231145536078271</v>
      </c>
      <c r="AC50" s="35">
        <f t="shared" ref="AC50:AD50" si="136">+AC43/AC7</f>
        <v>0.1100828056502679</v>
      </c>
      <c r="AD50" s="35">
        <f t="shared" si="136"/>
        <v>0.17361817565276366</v>
      </c>
      <c r="AE50" s="35">
        <f t="shared" ref="AE50" si="137">+AE43/AE7</f>
        <v>0.17581615903702355</v>
      </c>
      <c r="AF50" s="119">
        <f t="shared" si="135"/>
        <v>0.14666797430490855</v>
      </c>
      <c r="AG50" s="46">
        <f t="shared" ref="AG50:AK52" si="138">+AG43/AG7</f>
        <v>0.16778648749533409</v>
      </c>
      <c r="AH50" s="35">
        <f t="shared" ref="AH50:AI50" si="139">+AH43/AH7</f>
        <v>0.20831279776573025</v>
      </c>
      <c r="AI50" s="35">
        <f t="shared" si="139"/>
        <v>0.16322842945339555</v>
      </c>
      <c r="AJ50" s="35">
        <f t="shared" ref="AJ50" si="140">+AJ43/AJ7</f>
        <v>0.15912250888305268</v>
      </c>
      <c r="AK50" s="119">
        <f t="shared" si="138"/>
        <v>0.17431491510240649</v>
      </c>
      <c r="AL50" s="46">
        <f t="shared" ref="AL50:AP52" si="141">+AL43/AL7</f>
        <v>0.16015014075695966</v>
      </c>
      <c r="AM50" s="35">
        <f t="shared" si="141"/>
        <v>0.15559183673469387</v>
      </c>
      <c r="AN50" s="35">
        <f>+AN43/AN7</f>
        <v>0.11958762886597937</v>
      </c>
      <c r="AO50" s="35">
        <f>+AO43/AO7</f>
        <v>0.10796324655436447</v>
      </c>
      <c r="AP50" s="119">
        <f t="shared" si="141"/>
        <v>0.13737639519585787</v>
      </c>
      <c r="AQ50" s="46">
        <f t="shared" ref="AQ50" si="142">+AQ43/AQ7</f>
        <v>0.11144749290444654</v>
      </c>
      <c r="AR50" s="35">
        <v>9.6000000000000002E-2</v>
      </c>
      <c r="AS50" s="35">
        <v>0.11899999999999999</v>
      </c>
      <c r="AT50" s="35">
        <v>-0.90300000000000002</v>
      </c>
      <c r="AU50" s="119">
        <f t="shared" ref="AU50:AW52" si="143">+AU43/AU7</f>
        <v>-0.1223087494273935</v>
      </c>
      <c r="AV50" s="46">
        <f t="shared" si="143"/>
        <v>6.7633928571428567E-2</v>
      </c>
      <c r="AW50" s="35">
        <f t="shared" si="143"/>
        <v>-1.3184931506849316</v>
      </c>
      <c r="AX50" s="35">
        <f t="shared" ref="AX50" si="144">+AX43/AX7</f>
        <v>9.0460157126823787E-2</v>
      </c>
      <c r="AY50" s="35">
        <f>+AY43/AY7</f>
        <v>4.0218943360304626E-2</v>
      </c>
      <c r="AZ50" s="119">
        <f>+AZ43/AZ7</f>
        <v>-0.2797282639721414</v>
      </c>
      <c r="BA50" s="46">
        <f t="shared" ref="BA50:BC52" si="145">+BA43/BA7</f>
        <v>5.7844893780394167E-2</v>
      </c>
      <c r="BB50" s="35">
        <f t="shared" si="145"/>
        <v>0.10347470618293307</v>
      </c>
      <c r="BC50" s="35">
        <f t="shared" si="145"/>
        <v>0.12322981366459626</v>
      </c>
      <c r="BD50" s="35">
        <f>+BD43/BD7</f>
        <v>0.10995184590690209</v>
      </c>
      <c r="BE50" s="119">
        <f>+BE43/BE7</f>
        <v>9.8690965092402466E-2</v>
      </c>
    </row>
    <row r="51" spans="1:57" s="7" customFormat="1" ht="11.25" x14ac:dyDescent="0.2">
      <c r="A51" s="7" t="s">
        <v>30</v>
      </c>
      <c r="C51" s="46"/>
      <c r="D51" s="35"/>
      <c r="E51" s="35"/>
      <c r="F51" s="47"/>
      <c r="G51" s="120">
        <f>+G44/G8</f>
        <v>0.20968125594671738</v>
      </c>
      <c r="H51" s="33"/>
      <c r="I51" s="33"/>
      <c r="J51" s="33"/>
      <c r="K51" s="34"/>
      <c r="L51" s="120">
        <f>+L44/L8</f>
        <v>0.23716381418092908</v>
      </c>
      <c r="M51" s="32"/>
      <c r="N51" s="33"/>
      <c r="O51" s="33"/>
      <c r="P51" s="34"/>
      <c r="Q51" s="120">
        <f t="shared" ref="Q51:AA51" si="146">+Q44/Q8</f>
        <v>0.24275788348476751</v>
      </c>
      <c r="R51" s="32">
        <f t="shared" si="146"/>
        <v>0.20718025430067316</v>
      </c>
      <c r="S51" s="33">
        <f t="shared" si="146"/>
        <v>0.22471910112359553</v>
      </c>
      <c r="T51" s="33">
        <f t="shared" si="146"/>
        <v>0.21065088757396452</v>
      </c>
      <c r="U51" s="34">
        <f t="shared" si="146"/>
        <v>0.22235067437379577</v>
      </c>
      <c r="V51" s="120">
        <f t="shared" si="146"/>
        <v>0.21632112089368552</v>
      </c>
      <c r="W51" s="46">
        <f t="shared" si="146"/>
        <v>0.17421072651198174</v>
      </c>
      <c r="X51" s="35">
        <f t="shared" si="146"/>
        <v>0.19438202247191011</v>
      </c>
      <c r="Y51" s="35">
        <f t="shared" si="146"/>
        <v>0.20396706586826349</v>
      </c>
      <c r="Z51" s="47">
        <f t="shared" si="146"/>
        <v>0.22061549870226177</v>
      </c>
      <c r="AA51" s="119">
        <f t="shared" si="146"/>
        <v>0.19844394450693664</v>
      </c>
      <c r="AB51" s="46">
        <f t="shared" ref="AB51:AF51" si="147">+AB44/AB8</f>
        <v>0.16588486140724945</v>
      </c>
      <c r="AC51" s="35">
        <f t="shared" ref="AC51:AD51" si="148">+AC44/AC8</f>
        <v>-6.4630681818181809E-2</v>
      </c>
      <c r="AD51" s="35">
        <f t="shared" si="148"/>
        <v>0.17826265953067105</v>
      </c>
      <c r="AE51" s="35">
        <f t="shared" ref="AE51" si="149">+AE44/AE8</f>
        <v>0.23150183150183151</v>
      </c>
      <c r="AF51" s="119">
        <f t="shared" si="147"/>
        <v>0.15293985637342908</v>
      </c>
      <c r="AG51" s="46">
        <f t="shared" ref="AG51" si="150">+AG44/AG8</f>
        <v>0.17973602484472051</v>
      </c>
      <c r="AH51" s="35">
        <f t="shared" ref="AH51:AI51" si="151">+AH44/AH8</f>
        <v>0.16383947041787339</v>
      </c>
      <c r="AI51" s="35">
        <f t="shared" si="151"/>
        <v>0.14473684210526314</v>
      </c>
      <c r="AJ51" s="35">
        <f t="shared" ref="AJ51" si="152">+AJ44/AJ8</f>
        <v>0.15416666666666667</v>
      </c>
      <c r="AK51" s="119">
        <f t="shared" si="138"/>
        <v>0.16087696466112722</v>
      </c>
      <c r="AL51" s="46">
        <f t="shared" si="141"/>
        <v>0.1177584248390761</v>
      </c>
      <c r="AM51" s="35">
        <f t="shared" si="141"/>
        <v>0.12033833141099574</v>
      </c>
      <c r="AN51" s="35">
        <f t="shared" si="141"/>
        <v>0.14074836937864743</v>
      </c>
      <c r="AO51" s="35">
        <f t="shared" ref="AO51" si="153">+AO44/AO8</f>
        <v>0.12054161162483487</v>
      </c>
      <c r="AP51" s="119">
        <f t="shared" si="141"/>
        <v>0.12510059912366986</v>
      </c>
      <c r="AQ51" s="46">
        <f t="shared" ref="AQ51:AU52" si="154">+AQ44/AQ8</f>
        <v>0.12285625194886186</v>
      </c>
      <c r="AR51" s="35">
        <v>0.13500000000000001</v>
      </c>
      <c r="AS51" s="35">
        <v>0.13100000000000001</v>
      </c>
      <c r="AT51" s="35">
        <v>0.13</v>
      </c>
      <c r="AU51" s="119">
        <f t="shared" si="154"/>
        <v>0.12978590404750745</v>
      </c>
      <c r="AV51" s="46">
        <f t="shared" ref="AV51:AV52" si="155">+AV44/AV8</f>
        <v>0.10699588477366255</v>
      </c>
      <c r="AW51" s="35">
        <f t="shared" si="143"/>
        <v>2.5031289111389259E-3</v>
      </c>
      <c r="AX51" s="35">
        <f t="shared" ref="AX51" si="156">+AX44/AX8</f>
        <v>0.1193731243747916</v>
      </c>
      <c r="AY51" s="35">
        <f>+AY44/AY8</f>
        <v>0.12183075403358579</v>
      </c>
      <c r="AZ51" s="119">
        <f t="shared" ref="AZ51:AZ52" si="157">+AZ44/AZ8</f>
        <v>8.6675813090146075E-2</v>
      </c>
      <c r="BA51" s="46">
        <f t="shared" si="145"/>
        <v>0.12929023658780406</v>
      </c>
      <c r="BB51" s="35">
        <f t="shared" si="145"/>
        <v>0.15422558368957581</v>
      </c>
      <c r="BC51" s="35">
        <f t="shared" si="145"/>
        <v>0.43531531531531537</v>
      </c>
      <c r="BD51" s="35">
        <f>+BD44/BD8</f>
        <v>0.13502285002077274</v>
      </c>
      <c r="BE51" s="119">
        <f t="shared" ref="BE51:BE52" si="158">+BE44/BE8</f>
        <v>0.21293656450463291</v>
      </c>
    </row>
    <row r="52" spans="1:57" s="7" customFormat="1" ht="11.25" x14ac:dyDescent="0.2">
      <c r="A52" s="7" t="s">
        <v>142</v>
      </c>
      <c r="C52" s="46"/>
      <c r="D52" s="35"/>
      <c r="E52" s="35"/>
      <c r="F52" s="47"/>
      <c r="G52" s="120">
        <f>+G45/G9</f>
        <v>0.11801242236024843</v>
      </c>
      <c r="H52" s="33"/>
      <c r="I52" s="33"/>
      <c r="J52" s="33"/>
      <c r="K52" s="34"/>
      <c r="L52" s="120">
        <f>+L45/L9</f>
        <v>0.12112548901594944</v>
      </c>
      <c r="M52" s="32"/>
      <c r="N52" s="33"/>
      <c r="O52" s="33"/>
      <c r="P52" s="34"/>
      <c r="Q52" s="120">
        <f t="shared" ref="Q52:AA52" si="159">+Q45/Q9</f>
        <v>0.1075958386774975</v>
      </c>
      <c r="R52" s="32">
        <f t="shared" si="159"/>
        <v>8.6005394066526825E-2</v>
      </c>
      <c r="S52" s="33">
        <f t="shared" si="159"/>
        <v>0.10474149477631932</v>
      </c>
      <c r="T52" s="33">
        <f t="shared" si="159"/>
        <v>9.2659782305330729E-2</v>
      </c>
      <c r="U52" s="34">
        <f t="shared" si="159"/>
        <v>7.3454339194554727E-2</v>
      </c>
      <c r="V52" s="120">
        <f t="shared" si="159"/>
        <v>8.9498554199873057E-2</v>
      </c>
      <c r="W52" s="46">
        <f t="shared" si="159"/>
        <v>7.605800532701984E-2</v>
      </c>
      <c r="X52" s="35">
        <f t="shared" si="159"/>
        <v>9.8464796188459505E-2</v>
      </c>
      <c r="Y52" s="35">
        <f t="shared" si="159"/>
        <v>9.0639330995414089E-2</v>
      </c>
      <c r="Z52" s="47">
        <f t="shared" si="159"/>
        <v>9.1304347826086957E-2</v>
      </c>
      <c r="AA52" s="119">
        <f t="shared" si="159"/>
        <v>8.9422942573704062E-2</v>
      </c>
      <c r="AB52" s="46">
        <f t="shared" ref="AB52:AF52" si="160">+AB45/AB9</f>
        <v>0.10174781523096131</v>
      </c>
      <c r="AC52" s="35">
        <f t="shared" ref="AC52:AD52" si="161">+AC45/AC9</f>
        <v>9.9761661559414377E-2</v>
      </c>
      <c r="AD52" s="35">
        <f t="shared" si="161"/>
        <v>0.13016804481194985</v>
      </c>
      <c r="AE52" s="35">
        <f t="shared" ref="AE52" si="162">+AE45/AE9</f>
        <v>0.11449958414194621</v>
      </c>
      <c r="AF52" s="119">
        <f t="shared" si="160"/>
        <v>0.11261761873008819</v>
      </c>
      <c r="AG52" s="46">
        <f t="shared" ref="AG52" si="163">+AG45/AG9</f>
        <v>9.6223776223776217E-2</v>
      </c>
      <c r="AH52" s="35">
        <f t="shared" ref="AH52:AI52" si="164">+AH45/AH9</f>
        <v>0.12094465648854963</v>
      </c>
      <c r="AI52" s="35">
        <f t="shared" si="164"/>
        <v>0.11227651966626938</v>
      </c>
      <c r="AJ52" s="35">
        <f t="shared" ref="AJ52" si="165">+AJ45/AJ9</f>
        <v>0.12167931688804552</v>
      </c>
      <c r="AK52" s="119">
        <f t="shared" si="138"/>
        <v>0.11342563975769562</v>
      </c>
      <c r="AL52" s="46">
        <f t="shared" si="141"/>
        <v>0.11604584527220631</v>
      </c>
      <c r="AM52" s="35">
        <f t="shared" si="141"/>
        <v>0.1239168110918544</v>
      </c>
      <c r="AN52" s="35">
        <f t="shared" si="141"/>
        <v>0.10448824507242935</v>
      </c>
      <c r="AO52" s="35">
        <f t="shared" ref="AO52" si="166">+AO45/AO9</f>
        <v>0.10361575822989748</v>
      </c>
      <c r="AP52" s="119">
        <f t="shared" si="141"/>
        <v>0.11255307696908082</v>
      </c>
      <c r="AQ52" s="46">
        <f t="shared" ref="AQ52" si="167">+AQ45/AQ9</f>
        <v>9.3578485181119664E-2</v>
      </c>
      <c r="AR52" s="35">
        <v>0.113</v>
      </c>
      <c r="AS52" s="35">
        <v>9.4E-2</v>
      </c>
      <c r="AT52" s="35">
        <v>0.107</v>
      </c>
      <c r="AU52" s="119">
        <f t="shared" si="154"/>
        <v>0.10203943814154509</v>
      </c>
      <c r="AV52" s="46">
        <f t="shared" si="155"/>
        <v>8.6786786786786793E-2</v>
      </c>
      <c r="AW52" s="35">
        <f t="shared" si="143"/>
        <v>-1.0512129380053909E-2</v>
      </c>
      <c r="AX52" s="35">
        <f t="shared" ref="AX52" si="168">+AX45/AX9</f>
        <v>9.2057255122088122E-2</v>
      </c>
      <c r="AY52" s="35">
        <f>+AY45/AY9</f>
        <v>6.646616541353384E-2</v>
      </c>
      <c r="AZ52" s="119">
        <f t="shared" si="157"/>
        <v>5.7366456059735789E-2</v>
      </c>
      <c r="BA52" s="46">
        <f t="shared" si="145"/>
        <v>8.9646845759130706E-2</v>
      </c>
      <c r="BB52" s="35">
        <f t="shared" si="145"/>
        <v>0.08</v>
      </c>
      <c r="BC52" s="35">
        <f t="shared" si="145"/>
        <v>7.407407407407407E-2</v>
      </c>
      <c r="BD52" s="35">
        <f>+BD45/BD9</f>
        <v>3.640851589015736E-2</v>
      </c>
      <c r="BE52" s="119">
        <f t="shared" si="158"/>
        <v>7.0508622571490945E-2</v>
      </c>
    </row>
    <row r="53" spans="1:57" s="7" customFormat="1" ht="11.25" x14ac:dyDescent="0.2">
      <c r="A53" s="22" t="s">
        <v>41</v>
      </c>
      <c r="B53" s="22"/>
      <c r="C53" s="48"/>
      <c r="D53" s="49"/>
      <c r="E53" s="49"/>
      <c r="F53" s="50"/>
      <c r="G53" s="146">
        <f>+G47/G10</f>
        <v>0.14022771367303175</v>
      </c>
      <c r="H53" s="147"/>
      <c r="I53" s="147"/>
      <c r="J53" s="147"/>
      <c r="K53" s="148"/>
      <c r="L53" s="146">
        <f>+L47/L10</f>
        <v>0.17363129683458225</v>
      </c>
      <c r="M53" s="149"/>
      <c r="N53" s="147"/>
      <c r="O53" s="147"/>
      <c r="P53" s="148"/>
      <c r="Q53" s="146">
        <f t="shared" ref="Q53:AA53" si="169">+Q47/Q10</f>
        <v>0.15421674527105836</v>
      </c>
      <c r="R53" s="149">
        <f t="shared" si="169"/>
        <v>0.14259331259720062</v>
      </c>
      <c r="S53" s="147">
        <f t="shared" si="169"/>
        <v>0.15183673469387757</v>
      </c>
      <c r="T53" s="147">
        <f t="shared" si="169"/>
        <v>0.14970224461749887</v>
      </c>
      <c r="U53" s="148">
        <f t="shared" si="169"/>
        <v>0.11359510843603707</v>
      </c>
      <c r="V53" s="146">
        <f t="shared" si="169"/>
        <v>0.13968848811336221</v>
      </c>
      <c r="W53" s="48">
        <f t="shared" si="169"/>
        <v>0.12604969266730154</v>
      </c>
      <c r="X53" s="49">
        <f t="shared" si="169"/>
        <v>0.14548302011210021</v>
      </c>
      <c r="Y53" s="49">
        <f t="shared" si="169"/>
        <v>0.15056886952311788</v>
      </c>
      <c r="Z53" s="50">
        <f t="shared" si="169"/>
        <v>0.14848458380644597</v>
      </c>
      <c r="AA53" s="123">
        <f t="shared" si="169"/>
        <v>0.14280904786954232</v>
      </c>
      <c r="AB53" s="48">
        <f t="shared" ref="AB53:AF53" si="170">+AB47/AB10</f>
        <v>0.12061214729794356</v>
      </c>
      <c r="AC53" s="49">
        <f t="shared" ref="AC53:AD53" si="171">+AC47/AC10</f>
        <v>8.1883800733640974E-2</v>
      </c>
      <c r="AD53" s="49">
        <f t="shared" si="171"/>
        <v>0.1632991056641272</v>
      </c>
      <c r="AE53" s="49">
        <f t="shared" ref="AE53" si="172">+AE47/AE10</f>
        <v>0.17292724196277498</v>
      </c>
      <c r="AF53" s="123">
        <f t="shared" si="170"/>
        <v>0.1394561001822345</v>
      </c>
      <c r="AG53" s="48">
        <f t="shared" ref="AG53:AK53" si="173">+AG47/AG10</f>
        <v>0.1510122512816057</v>
      </c>
      <c r="AH53" s="49">
        <f t="shared" ref="AH53:AI53" si="174">+AH47/AH10</f>
        <v>0.17328292375551355</v>
      </c>
      <c r="AI53" s="49">
        <f t="shared" si="174"/>
        <v>0.14463311097634929</v>
      </c>
      <c r="AJ53" s="49">
        <f t="shared" ref="AJ53" si="175">+AJ47/AJ10</f>
        <v>0.14907344887088303</v>
      </c>
      <c r="AK53" s="123">
        <f t="shared" si="173"/>
        <v>0.15441785277766823</v>
      </c>
      <c r="AL53" s="48">
        <f t="shared" ref="AL53:AP53" si="176">+AL47/AL10</f>
        <v>0.13862209785978974</v>
      </c>
      <c r="AM53" s="49">
        <f t="shared" si="176"/>
        <v>0.14053365312546842</v>
      </c>
      <c r="AN53" s="49">
        <f t="shared" si="176"/>
        <v>0.12152348578491963</v>
      </c>
      <c r="AO53" s="49">
        <f t="shared" ref="AO53" si="177">+AO47/AO10</f>
        <v>0.11431677538049841</v>
      </c>
      <c r="AP53" s="123">
        <f t="shared" si="176"/>
        <v>0.12917014786173661</v>
      </c>
      <c r="AQ53" s="48">
        <f t="shared" ref="AQ53:AU53" si="178">+AQ47/AQ10</f>
        <v>0.11099208965062626</v>
      </c>
      <c r="AR53" s="49">
        <v>0.115</v>
      </c>
      <c r="AS53" s="49">
        <v>0.11600000000000001</v>
      </c>
      <c r="AT53" s="49">
        <v>-0.28899999999999998</v>
      </c>
      <c r="AU53" s="123">
        <f t="shared" si="178"/>
        <v>1.8940596364252004E-2</v>
      </c>
      <c r="AV53" s="48">
        <f t="shared" ref="AV53:AW53" si="179">+AV47/AV10</f>
        <v>8.7428206764518179E-2</v>
      </c>
      <c r="AW53" s="49">
        <f t="shared" si="179"/>
        <v>-0.515417331206805</v>
      </c>
      <c r="AX53" s="49">
        <f t="shared" ref="AX53" si="180">+AX47/AX10</f>
        <v>0.10356721430516473</v>
      </c>
      <c r="AY53" s="49">
        <f>+AY47/AY10</f>
        <v>7.3646346081029906E-2</v>
      </c>
      <c r="AZ53" s="123">
        <f t="shared" ref="AZ53:BC53" si="181">+AZ47/AZ10</f>
        <v>-6.704535085318003E-2</v>
      </c>
      <c r="BA53" s="48">
        <f t="shared" si="181"/>
        <v>9.2456706780158507E-2</v>
      </c>
      <c r="BB53" s="49">
        <f t="shared" si="181"/>
        <v>0.11351606805293006</v>
      </c>
      <c r="BC53" s="49">
        <f t="shared" si="181"/>
        <v>0.19345812427634115</v>
      </c>
      <c r="BD53" s="49">
        <f>+BD47/BD10</f>
        <v>6.7440869379927534E-2</v>
      </c>
      <c r="BE53" s="123">
        <f t="shared" ref="BE53" si="182">+BE47/BE10</f>
        <v>0.11797489581021428</v>
      </c>
    </row>
    <row r="54" spans="1:57" s="7" customFormat="1" ht="11.25" x14ac:dyDescent="0.2">
      <c r="A54" s="2"/>
      <c r="B54" s="22"/>
    </row>
    <row r="55" spans="1:57" s="7" customFormat="1" ht="11.25" x14ac:dyDescent="0.2">
      <c r="A55" s="2"/>
      <c r="B55" s="22"/>
      <c r="G55" s="41"/>
      <c r="Q55" s="41"/>
    </row>
    <row r="56" spans="1:57" s="7" customFormat="1" ht="11.25" x14ac:dyDescent="0.2">
      <c r="B56" s="22"/>
      <c r="C56" s="52" t="s">
        <v>148</v>
      </c>
      <c r="L56" s="41"/>
    </row>
    <row r="57" spans="1:57" s="7" customFormat="1" ht="11.25" x14ac:dyDescent="0.2">
      <c r="B57" s="22"/>
      <c r="C57" s="52" t="s">
        <v>149</v>
      </c>
    </row>
    <row r="58" spans="1:57" s="3" customFormat="1" ht="15" customHeight="1" x14ac:dyDescent="0.3">
      <c r="A58" s="59"/>
      <c r="B58"/>
      <c r="C58" s="52" t="s">
        <v>150</v>
      </c>
      <c r="T58" s="41"/>
      <c r="U58" s="41"/>
    </row>
    <row r="59" spans="1:57" ht="15" customHeight="1" x14ac:dyDescent="0.2">
      <c r="A59"/>
      <c r="B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</row>
    <row r="60" spans="1:57" x14ac:dyDescent="0.2">
      <c r="A60"/>
      <c r="B60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s="7" customFormat="1" x14ac:dyDescent="0.2">
      <c r="A61"/>
      <c r="B61"/>
    </row>
    <row r="62" spans="1:57" s="7" customFormat="1" x14ac:dyDescent="0.2">
      <c r="A62"/>
      <c r="B62"/>
    </row>
    <row r="63" spans="1:57" s="7" customFormat="1" x14ac:dyDescent="0.2">
      <c r="A63"/>
      <c r="B63"/>
    </row>
    <row r="64" spans="1:57" s="7" customFormat="1" x14ac:dyDescent="0.2">
      <c r="A64"/>
      <c r="B64"/>
    </row>
    <row r="65" spans="1:2" s="7" customFormat="1" x14ac:dyDescent="0.2">
      <c r="A65"/>
      <c r="B65"/>
    </row>
    <row r="66" spans="1:2" s="7" customFormat="1" x14ac:dyDescent="0.2">
      <c r="A66"/>
      <c r="B66"/>
    </row>
    <row r="67" spans="1:2" s="7" customFormat="1" x14ac:dyDescent="0.2">
      <c r="A67"/>
      <c r="B67"/>
    </row>
    <row r="68" spans="1:2" s="7" customFormat="1" x14ac:dyDescent="0.2">
      <c r="A68"/>
      <c r="B68"/>
    </row>
    <row r="69" spans="1:2" s="7" customFormat="1" ht="9.9499999999999993" customHeight="1" x14ac:dyDescent="0.2">
      <c r="A69"/>
      <c r="B69"/>
    </row>
    <row r="70" spans="1:2" s="7" customFormat="1" x14ac:dyDescent="0.2">
      <c r="A70"/>
      <c r="B70"/>
    </row>
    <row r="71" spans="1:2" s="7" customFormat="1" x14ac:dyDescent="0.2">
      <c r="A71"/>
      <c r="B71"/>
    </row>
    <row r="72" spans="1:2" s="7" customFormat="1" x14ac:dyDescent="0.2">
      <c r="A72"/>
      <c r="B72"/>
    </row>
    <row r="73" spans="1:2" s="7" customFormat="1" x14ac:dyDescent="0.2">
      <c r="A73"/>
      <c r="B73"/>
    </row>
    <row r="74" spans="1:2" s="7" customFormat="1" x14ac:dyDescent="0.2">
      <c r="A74"/>
      <c r="B74"/>
    </row>
    <row r="75" spans="1:2" s="7" customFormat="1" ht="9.9499999999999993" customHeight="1" x14ac:dyDescent="0.2">
      <c r="A75"/>
      <c r="B75"/>
    </row>
    <row r="76" spans="1:2" s="7" customFormat="1" x14ac:dyDescent="0.2">
      <c r="A76"/>
      <c r="B76"/>
    </row>
    <row r="77" spans="1:2" s="7" customFormat="1" x14ac:dyDescent="0.2">
      <c r="A77"/>
      <c r="B77"/>
    </row>
    <row r="78" spans="1:2" s="7" customFormat="1" x14ac:dyDescent="0.2">
      <c r="A78"/>
      <c r="B78"/>
    </row>
    <row r="79" spans="1:2" s="7" customFormat="1" x14ac:dyDescent="0.2">
      <c r="A79"/>
      <c r="B79"/>
    </row>
    <row r="80" spans="1:2" s="7" customFormat="1" x14ac:dyDescent="0.2">
      <c r="A80"/>
      <c r="B80"/>
    </row>
    <row r="81" spans="1:2" s="7" customFormat="1" x14ac:dyDescent="0.2">
      <c r="A81"/>
      <c r="B81"/>
    </row>
    <row r="82" spans="1:2" s="7" customFormat="1" ht="9.9499999999999993" customHeight="1" x14ac:dyDescent="0.2">
      <c r="A82"/>
      <c r="B82"/>
    </row>
    <row r="83" spans="1:2" s="7" customFormat="1" x14ac:dyDescent="0.2">
      <c r="A83"/>
      <c r="B83"/>
    </row>
    <row r="84" spans="1:2" s="7" customFormat="1" x14ac:dyDescent="0.2">
      <c r="A84"/>
      <c r="B84"/>
    </row>
    <row r="85" spans="1:2" s="7" customFormat="1" x14ac:dyDescent="0.2">
      <c r="A85"/>
      <c r="B85"/>
    </row>
    <row r="86" spans="1:2" s="7" customFormat="1" x14ac:dyDescent="0.2">
      <c r="A86"/>
      <c r="B86"/>
    </row>
    <row r="87" spans="1:2" s="7" customFormat="1" x14ac:dyDescent="0.2">
      <c r="A87"/>
      <c r="B87"/>
    </row>
    <row r="88" spans="1:2" s="7" customFormat="1" ht="9.9499999999999993" customHeight="1" x14ac:dyDescent="0.2">
      <c r="A88"/>
      <c r="B88"/>
    </row>
    <row r="89" spans="1:2" s="7" customFormat="1" x14ac:dyDescent="0.2">
      <c r="A89"/>
      <c r="B89"/>
    </row>
    <row r="90" spans="1:2" s="7" customFormat="1" x14ac:dyDescent="0.2">
      <c r="A90"/>
      <c r="B90"/>
    </row>
    <row r="91" spans="1:2" s="7" customFormat="1" x14ac:dyDescent="0.2">
      <c r="A91"/>
      <c r="B91"/>
    </row>
    <row r="92" spans="1:2" s="7" customFormat="1" x14ac:dyDescent="0.2">
      <c r="A92"/>
      <c r="B92"/>
    </row>
    <row r="93" spans="1:2" s="7" customFormat="1" x14ac:dyDescent="0.2">
      <c r="A93"/>
      <c r="B93"/>
    </row>
    <row r="94" spans="1:2" s="7" customFormat="1" x14ac:dyDescent="0.2">
      <c r="A94"/>
      <c r="B94"/>
    </row>
    <row r="95" spans="1:2" s="7" customFormat="1" x14ac:dyDescent="0.2">
      <c r="A95"/>
      <c r="B95"/>
    </row>
    <row r="96" spans="1:2" s="7" customFormat="1" ht="9.9499999999999993" customHeight="1" x14ac:dyDescent="0.2">
      <c r="A96"/>
      <c r="B96"/>
    </row>
    <row r="97" spans="1:2" s="7" customFormat="1" x14ac:dyDescent="0.2">
      <c r="A97"/>
      <c r="B97"/>
    </row>
    <row r="98" spans="1:2" s="7" customFormat="1" x14ac:dyDescent="0.2">
      <c r="A98"/>
      <c r="B98"/>
    </row>
    <row r="99" spans="1:2" s="7" customFormat="1" x14ac:dyDescent="0.2">
      <c r="A99"/>
      <c r="B99"/>
    </row>
    <row r="100" spans="1:2" s="7" customFormat="1" x14ac:dyDescent="0.2">
      <c r="A100"/>
      <c r="B100"/>
    </row>
    <row r="101" spans="1:2" s="7" customFormat="1" x14ac:dyDescent="0.2">
      <c r="A101"/>
      <c r="B101"/>
    </row>
    <row r="102" spans="1:2" s="7" customFormat="1" x14ac:dyDescent="0.2">
      <c r="A102"/>
      <c r="B102"/>
    </row>
    <row r="103" spans="1:2" s="7" customFormat="1" x14ac:dyDescent="0.2">
      <c r="A103"/>
      <c r="B103"/>
    </row>
    <row r="104" spans="1:2" s="7" customFormat="1" x14ac:dyDescent="0.2">
      <c r="A104"/>
      <c r="B104"/>
    </row>
    <row r="105" spans="1:2" s="7" customFormat="1" x14ac:dyDescent="0.2">
      <c r="A105"/>
      <c r="B105"/>
    </row>
    <row r="106" spans="1:2" s="7" customFormat="1" x14ac:dyDescent="0.2">
      <c r="A106"/>
      <c r="B106"/>
    </row>
    <row r="107" spans="1:2" x14ac:dyDescent="0.2">
      <c r="A107"/>
      <c r="B107"/>
    </row>
  </sheetData>
  <dataConsolidate/>
  <mergeCells count="11">
    <mergeCell ref="BA4:BE4"/>
    <mergeCell ref="AV4:AZ4"/>
    <mergeCell ref="AQ4:AU4"/>
    <mergeCell ref="C4:G4"/>
    <mergeCell ref="H4:L4"/>
    <mergeCell ref="M4:Q4"/>
    <mergeCell ref="AL4:AP4"/>
    <mergeCell ref="AG4:AK4"/>
    <mergeCell ref="AB4:AF4"/>
    <mergeCell ref="R4:V4"/>
    <mergeCell ref="W4:AA4"/>
  </mergeCells>
  <phoneticPr fontId="8" type="noConversion"/>
  <pageMargins left="0.45" right="0.2" top="0.75" bottom="0.5" header="0.3" footer="0.3"/>
  <pageSetup scale="56" fitToWidth="2" orientation="landscape" r:id="rId1"/>
  <headerFooter alignWithMargins="0"/>
  <colBreaks count="1" manualBreakCount="1">
    <brk id="27" max="57" man="1"/>
  </colBreaks>
  <ignoredErrors>
    <ignoredError sqref="AR4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11C6-7982-457F-A6CF-FA26D96E7E52}">
  <dimension ref="A1:BE108"/>
  <sheetViews>
    <sheetView tabSelected="1" view="pageBreakPreview" zoomScaleNormal="110" zoomScaleSheetLayoutView="10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BE28" sqref="BE28"/>
    </sheetView>
  </sheetViews>
  <sheetFormatPr defaultColWidth="9.140625" defaultRowHeight="12.75" x14ac:dyDescent="0.2"/>
  <cols>
    <col min="1" max="1" width="25.85546875" style="1" customWidth="1"/>
    <col min="2" max="2" width="2.7109375" style="1" customWidth="1"/>
    <col min="3" max="6" width="7" style="1" customWidth="1"/>
    <col min="7" max="7" width="7.28515625" style="1" customWidth="1"/>
    <col min="8" max="11" width="7" style="1" customWidth="1"/>
    <col min="12" max="12" width="7.28515625" style="1" customWidth="1"/>
    <col min="13" max="48" width="7" style="1" customWidth="1"/>
    <col min="49" max="49" width="7.28515625" style="1" customWidth="1"/>
    <col min="50" max="51" width="7.140625" style="1" customWidth="1"/>
    <col min="52" max="57" width="7" style="1" customWidth="1"/>
    <col min="58" max="16384" width="9.140625" style="1"/>
  </cols>
  <sheetData>
    <row r="1" spans="1:57" s="3" customFormat="1" ht="15" customHeight="1" x14ac:dyDescent="0.3">
      <c r="A1" s="53" t="s">
        <v>85</v>
      </c>
      <c r="B1" s="4"/>
    </row>
    <row r="2" spans="1:57" s="3" customFormat="1" ht="15" customHeight="1" x14ac:dyDescent="0.3">
      <c r="A2" s="53" t="s">
        <v>45</v>
      </c>
      <c r="B2" s="4"/>
      <c r="AB2" s="59"/>
      <c r="AC2" s="59"/>
      <c r="AD2" s="59"/>
      <c r="AE2" s="59"/>
      <c r="AF2" s="59"/>
      <c r="AG2" s="59"/>
      <c r="AH2" s="59"/>
      <c r="AI2" s="59"/>
      <c r="AL2" s="59"/>
      <c r="AM2" s="59"/>
      <c r="AN2" s="59"/>
    </row>
    <row r="3" spans="1:57" ht="15" customHeight="1" x14ac:dyDescent="0.25">
      <c r="A3" s="57" t="s">
        <v>151</v>
      </c>
      <c r="B3" s="5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57" ht="8.1" customHeight="1" thickBot="1" x14ac:dyDescent="0.3">
      <c r="A4" s="6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7"/>
      <c r="AH4" s="7"/>
      <c r="AI4" s="7"/>
      <c r="AJ4" s="59"/>
      <c r="AK4" s="59"/>
      <c r="AL4" s="7"/>
      <c r="AM4" s="7"/>
      <c r="AN4" s="7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</row>
    <row r="5" spans="1:57" s="7" customFormat="1" ht="12" thickBot="1" x14ac:dyDescent="0.25">
      <c r="C5" s="159">
        <v>2015</v>
      </c>
      <c r="D5" s="160"/>
      <c r="E5" s="160"/>
      <c r="F5" s="160"/>
      <c r="G5" s="161"/>
      <c r="H5" s="159">
        <v>2016</v>
      </c>
      <c r="I5" s="160"/>
      <c r="J5" s="160"/>
      <c r="K5" s="160"/>
      <c r="L5" s="161"/>
      <c r="M5" s="159">
        <v>2017</v>
      </c>
      <c r="N5" s="160"/>
      <c r="O5" s="160"/>
      <c r="P5" s="160"/>
      <c r="Q5" s="161"/>
      <c r="R5" s="159">
        <v>2018</v>
      </c>
      <c r="S5" s="160"/>
      <c r="T5" s="160"/>
      <c r="U5" s="160"/>
      <c r="V5" s="161"/>
      <c r="W5" s="159">
        <v>2019</v>
      </c>
      <c r="X5" s="160"/>
      <c r="Y5" s="160"/>
      <c r="Z5" s="160"/>
      <c r="AA5" s="161"/>
      <c r="AB5" s="159">
        <v>2020</v>
      </c>
      <c r="AC5" s="160"/>
      <c r="AD5" s="160"/>
      <c r="AE5" s="160"/>
      <c r="AF5" s="161"/>
      <c r="AG5" s="159">
        <v>2021</v>
      </c>
      <c r="AH5" s="160"/>
      <c r="AI5" s="160"/>
      <c r="AJ5" s="160"/>
      <c r="AK5" s="161"/>
      <c r="AL5" s="159">
        <v>2022</v>
      </c>
      <c r="AM5" s="160"/>
      <c r="AN5" s="160"/>
      <c r="AO5" s="160"/>
      <c r="AP5" s="161"/>
      <c r="AQ5" s="159">
        <v>2023</v>
      </c>
      <c r="AR5" s="160"/>
      <c r="AS5" s="160"/>
      <c r="AT5" s="160"/>
      <c r="AU5" s="161"/>
      <c r="AV5" s="159">
        <v>2024</v>
      </c>
      <c r="AW5" s="160"/>
      <c r="AX5" s="160"/>
      <c r="AY5" s="160"/>
      <c r="AZ5" s="161"/>
      <c r="BA5" s="159">
        <v>2025</v>
      </c>
      <c r="BB5" s="160"/>
      <c r="BC5" s="160"/>
      <c r="BD5" s="160"/>
      <c r="BE5" s="161"/>
    </row>
    <row r="6" spans="1:57" s="7" customFormat="1" ht="12" thickBot="1" x14ac:dyDescent="0.25">
      <c r="A6" s="8"/>
      <c r="B6" s="8"/>
      <c r="C6" s="134" t="s">
        <v>86</v>
      </c>
      <c r="D6" s="12" t="s">
        <v>87</v>
      </c>
      <c r="E6" s="12" t="s">
        <v>88</v>
      </c>
      <c r="F6" s="135" t="s">
        <v>89</v>
      </c>
      <c r="G6" s="114" t="s">
        <v>90</v>
      </c>
      <c r="H6" s="12" t="s">
        <v>91</v>
      </c>
      <c r="I6" s="12" t="s">
        <v>92</v>
      </c>
      <c r="J6" s="12" t="s">
        <v>93</v>
      </c>
      <c r="K6" s="135" t="s">
        <v>94</v>
      </c>
      <c r="L6" s="114" t="s">
        <v>95</v>
      </c>
      <c r="M6" s="134" t="s">
        <v>96</v>
      </c>
      <c r="N6" s="12" t="s">
        <v>97</v>
      </c>
      <c r="O6" s="12" t="s">
        <v>98</v>
      </c>
      <c r="P6" s="135" t="s">
        <v>99</v>
      </c>
      <c r="Q6" s="114" t="s">
        <v>100</v>
      </c>
      <c r="R6" s="134" t="s">
        <v>101</v>
      </c>
      <c r="S6" s="12" t="s">
        <v>102</v>
      </c>
      <c r="T6" s="12" t="s">
        <v>103</v>
      </c>
      <c r="U6" s="135" t="s">
        <v>104</v>
      </c>
      <c r="V6" s="114" t="s">
        <v>105</v>
      </c>
      <c r="W6" s="134" t="s">
        <v>106</v>
      </c>
      <c r="X6" s="12" t="s">
        <v>107</v>
      </c>
      <c r="Y6" s="12" t="s">
        <v>108</v>
      </c>
      <c r="Z6" s="135" t="s">
        <v>109</v>
      </c>
      <c r="AA6" s="114" t="s">
        <v>110</v>
      </c>
      <c r="AB6" s="134" t="s">
        <v>111</v>
      </c>
      <c r="AC6" s="12" t="s">
        <v>112</v>
      </c>
      <c r="AD6" s="12" t="s">
        <v>113</v>
      </c>
      <c r="AE6" s="135" t="s">
        <v>114</v>
      </c>
      <c r="AF6" s="114" t="s">
        <v>115</v>
      </c>
      <c r="AG6" s="134" t="s">
        <v>116</v>
      </c>
      <c r="AH6" s="12" t="s">
        <v>117</v>
      </c>
      <c r="AI6" s="12" t="s">
        <v>118</v>
      </c>
      <c r="AJ6" s="135" t="s">
        <v>119</v>
      </c>
      <c r="AK6" s="114" t="s">
        <v>120</v>
      </c>
      <c r="AL6" s="134" t="s">
        <v>121</v>
      </c>
      <c r="AM6" s="12" t="s">
        <v>122</v>
      </c>
      <c r="AN6" s="12" t="s">
        <v>123</v>
      </c>
      <c r="AO6" s="135" t="s">
        <v>124</v>
      </c>
      <c r="AP6" s="114" t="s">
        <v>125</v>
      </c>
      <c r="AQ6" s="134" t="s">
        <v>126</v>
      </c>
      <c r="AR6" s="12" t="s">
        <v>127</v>
      </c>
      <c r="AS6" s="12" t="s">
        <v>128</v>
      </c>
      <c r="AT6" s="135" t="s">
        <v>129</v>
      </c>
      <c r="AU6" s="114" t="s">
        <v>130</v>
      </c>
      <c r="AV6" s="134" t="s">
        <v>131</v>
      </c>
      <c r="AW6" s="12" t="s">
        <v>132</v>
      </c>
      <c r="AX6" s="12" t="s">
        <v>133</v>
      </c>
      <c r="AY6" s="135" t="s">
        <v>134</v>
      </c>
      <c r="AZ6" s="114" t="s">
        <v>135</v>
      </c>
      <c r="BA6" s="134" t="s">
        <v>136</v>
      </c>
      <c r="BB6" s="12" t="s">
        <v>137</v>
      </c>
      <c r="BC6" s="12" t="s">
        <v>138</v>
      </c>
      <c r="BD6" s="135" t="s">
        <v>139</v>
      </c>
      <c r="BE6" s="114" t="s">
        <v>140</v>
      </c>
    </row>
    <row r="7" spans="1:57" s="7" customFormat="1" ht="12" thickBot="1" x14ac:dyDescent="0.25">
      <c r="A7" s="13" t="s">
        <v>61</v>
      </c>
      <c r="C7" s="14"/>
      <c r="F7" s="15"/>
      <c r="G7" s="115"/>
      <c r="K7" s="15"/>
      <c r="L7" s="115"/>
      <c r="M7" s="14"/>
      <c r="P7" s="15"/>
      <c r="Q7" s="115"/>
      <c r="R7" s="14"/>
      <c r="U7" s="15"/>
      <c r="V7" s="115"/>
      <c r="W7" s="14"/>
      <c r="Z7" s="15"/>
      <c r="AA7" s="115"/>
      <c r="AB7" s="14"/>
      <c r="AE7" s="15"/>
      <c r="AF7" s="115"/>
      <c r="AG7" s="14"/>
      <c r="AJ7" s="15"/>
      <c r="AK7" s="115"/>
      <c r="AL7" s="14"/>
      <c r="AO7" s="15"/>
      <c r="AP7" s="115"/>
      <c r="AQ7" s="14"/>
      <c r="AT7" s="15"/>
      <c r="AU7" s="115"/>
      <c r="AV7" s="14"/>
      <c r="AY7" s="15"/>
      <c r="AZ7" s="115"/>
      <c r="BA7" s="14"/>
      <c r="BD7" s="15"/>
      <c r="BE7" s="115"/>
    </row>
    <row r="8" spans="1:57" s="7" customFormat="1" ht="11.25" x14ac:dyDescent="0.2">
      <c r="A8" s="7" t="s">
        <v>141</v>
      </c>
      <c r="C8" s="16">
        <v>445.2</v>
      </c>
      <c r="D8" s="17">
        <v>429.9</v>
      </c>
      <c r="E8" s="17">
        <v>449.7</v>
      </c>
      <c r="F8" s="18">
        <v>399.2</v>
      </c>
      <c r="G8" s="116">
        <f>SUM(C8:F8)</f>
        <v>1724</v>
      </c>
      <c r="H8" s="54">
        <v>393.6</v>
      </c>
      <c r="I8" s="54">
        <v>384.6</v>
      </c>
      <c r="J8" s="54">
        <v>389.4</v>
      </c>
      <c r="K8" s="18">
        <v>353.3</v>
      </c>
      <c r="L8" s="116">
        <f>SUM(H8:K8)</f>
        <v>1520.8999999999999</v>
      </c>
      <c r="M8" s="16">
        <v>391.1</v>
      </c>
      <c r="N8" s="54">
        <v>388.9</v>
      </c>
      <c r="O8" s="54">
        <v>420.9</v>
      </c>
      <c r="P8" s="18">
        <v>404</v>
      </c>
      <c r="Q8" s="116">
        <f>SUM(M8:P8)</f>
        <v>1604.9</v>
      </c>
      <c r="R8" s="16">
        <v>427.7</v>
      </c>
      <c r="S8" s="54">
        <v>453.3</v>
      </c>
      <c r="T8" s="54">
        <v>479.7</v>
      </c>
      <c r="U8" s="18">
        <v>434.6</v>
      </c>
      <c r="V8" s="116">
        <f>SUM(R8:U8)</f>
        <v>1795.3000000000002</v>
      </c>
      <c r="W8" s="16">
        <v>554.29999999999995</v>
      </c>
      <c r="X8" s="54">
        <v>568.4</v>
      </c>
      <c r="Y8" s="54">
        <v>601.4</v>
      </c>
      <c r="Z8" s="18">
        <v>530.20000000000005</v>
      </c>
      <c r="AA8" s="116">
        <f>SUM(W8:Z8)</f>
        <v>2254.3000000000002</v>
      </c>
      <c r="AB8" s="16">
        <v>490.6</v>
      </c>
      <c r="AC8" s="54">
        <v>410.6</v>
      </c>
      <c r="AD8" s="54">
        <v>589.79999999999995</v>
      </c>
      <c r="AE8" s="18">
        <v>548.33000000000004</v>
      </c>
      <c r="AF8" s="116">
        <f>SUM(AB8:AE8)</f>
        <v>2039.33</v>
      </c>
      <c r="AG8" s="16">
        <v>535.79999999999995</v>
      </c>
      <c r="AH8" s="54">
        <v>608.70000000000005</v>
      </c>
      <c r="AI8" s="54">
        <v>664.1</v>
      </c>
      <c r="AJ8" s="18">
        <v>647.29999999999995</v>
      </c>
      <c r="AK8" s="116">
        <f>SUM(AG8:AJ8)</f>
        <v>2455.8999999999996</v>
      </c>
      <c r="AL8" s="16">
        <v>639.4</v>
      </c>
      <c r="AM8" s="54">
        <v>612.5</v>
      </c>
      <c r="AN8" s="54">
        <v>582</v>
      </c>
      <c r="AO8" s="18">
        <v>522.4</v>
      </c>
      <c r="AP8" s="116">
        <f>SUM(AL8:AO8)</f>
        <v>2356.3000000000002</v>
      </c>
      <c r="AQ8" s="16">
        <v>528.5</v>
      </c>
      <c r="AR8" s="54">
        <v>504.4</v>
      </c>
      <c r="AS8" s="54">
        <v>483.3</v>
      </c>
      <c r="AT8" s="18">
        <v>448.5</v>
      </c>
      <c r="AU8" s="116">
        <f>SUM(AQ8:AT8)</f>
        <v>1964.7</v>
      </c>
      <c r="AV8" s="16">
        <v>448</v>
      </c>
      <c r="AW8" s="54">
        <v>438</v>
      </c>
      <c r="AX8" s="54">
        <v>445.5</v>
      </c>
      <c r="AY8" s="18">
        <v>420.2</v>
      </c>
      <c r="AZ8" s="116">
        <f>SUM(AV8:AY8)</f>
        <v>1751.7</v>
      </c>
      <c r="BA8" s="16">
        <v>390.7</v>
      </c>
      <c r="BB8" s="54">
        <v>391.4</v>
      </c>
      <c r="BC8" s="54">
        <v>402.5</v>
      </c>
      <c r="BD8" s="18">
        <v>373.8</v>
      </c>
      <c r="BE8" s="116">
        <f>SUM(BA8:BD8)</f>
        <v>1558.3999999999999</v>
      </c>
    </row>
    <row r="9" spans="1:57" s="7" customFormat="1" ht="11.25" x14ac:dyDescent="0.2">
      <c r="A9" s="7" t="s">
        <v>30</v>
      </c>
      <c r="C9" s="16">
        <v>204.3</v>
      </c>
      <c r="D9" s="17">
        <v>214.9</v>
      </c>
      <c r="E9" s="17">
        <v>210</v>
      </c>
      <c r="F9" s="18">
        <v>211.6</v>
      </c>
      <c r="G9" s="116">
        <f>SUM(C9:F9)</f>
        <v>840.80000000000007</v>
      </c>
      <c r="H9" s="54">
        <v>219.79999999999998</v>
      </c>
      <c r="I9" s="54">
        <v>235.4</v>
      </c>
      <c r="J9" s="54">
        <v>219.7</v>
      </c>
      <c r="K9" s="18">
        <v>224.9</v>
      </c>
      <c r="L9" s="116">
        <f>SUM(H9:K9)</f>
        <v>899.8</v>
      </c>
      <c r="M9" s="16">
        <v>234.4</v>
      </c>
      <c r="N9" s="54">
        <v>238.4</v>
      </c>
      <c r="O9" s="54">
        <v>227.8</v>
      </c>
      <c r="P9" s="18">
        <v>234.9</v>
      </c>
      <c r="Q9" s="116">
        <f t="shared" ref="Q9" si="0">SUM(M9:P9)</f>
        <v>935.5</v>
      </c>
      <c r="R9" s="16">
        <v>267.39999999999998</v>
      </c>
      <c r="S9" s="54">
        <v>275.89999999999998</v>
      </c>
      <c r="T9" s="54">
        <v>253.5</v>
      </c>
      <c r="U9" s="18">
        <v>259.5</v>
      </c>
      <c r="V9" s="116">
        <f t="shared" ref="V9" si="1">SUM(R9:U9)</f>
        <v>1056.3</v>
      </c>
      <c r="W9" s="16">
        <v>262.89999999999998</v>
      </c>
      <c r="X9" s="54">
        <v>267</v>
      </c>
      <c r="Y9" s="54">
        <v>267.2</v>
      </c>
      <c r="Z9" s="18">
        <v>269.7</v>
      </c>
      <c r="AA9" s="116">
        <f t="shared" ref="AA9" si="2">SUM(W9:Z9)</f>
        <v>1066.8</v>
      </c>
      <c r="AB9" s="16">
        <v>234.5</v>
      </c>
      <c r="AC9" s="54">
        <v>140.80000000000001</v>
      </c>
      <c r="AD9" s="54">
        <v>242.9</v>
      </c>
      <c r="AE9" s="18">
        <v>273</v>
      </c>
      <c r="AF9" s="116">
        <f t="shared" ref="AF9" si="3">SUM(AB9:AE9)</f>
        <v>891.2</v>
      </c>
      <c r="AG9" s="16">
        <v>257.60000000000002</v>
      </c>
      <c r="AH9" s="54">
        <v>241.7</v>
      </c>
      <c r="AI9" s="54">
        <v>235.6</v>
      </c>
      <c r="AJ9" s="18">
        <v>264</v>
      </c>
      <c r="AK9" s="116">
        <f t="shared" ref="AK9" si="4">SUM(AG9:AJ9)</f>
        <v>998.9</v>
      </c>
      <c r="AL9" s="16">
        <v>264.10000000000002</v>
      </c>
      <c r="AM9" s="54">
        <v>260.10000000000002</v>
      </c>
      <c r="AN9" s="54">
        <v>291.3</v>
      </c>
      <c r="AO9" s="18">
        <v>302.8</v>
      </c>
      <c r="AP9" s="116">
        <f t="shared" ref="AP9" si="5">SUM(AL9:AO9)</f>
        <v>1118.3</v>
      </c>
      <c r="AQ9" s="16">
        <v>320.7</v>
      </c>
      <c r="AR9" s="54">
        <v>321.2</v>
      </c>
      <c r="AS9" s="54">
        <v>319.39999999999998</v>
      </c>
      <c r="AT9" s="18">
        <v>318.5</v>
      </c>
      <c r="AU9" s="116">
        <f t="shared" ref="AU9" si="6">SUM(AQ9:AT9)</f>
        <v>1279.8</v>
      </c>
      <c r="AV9" s="16">
        <v>315.89999999999998</v>
      </c>
      <c r="AW9" s="54">
        <v>319.60000000000002</v>
      </c>
      <c r="AX9" s="54">
        <v>299.89999999999998</v>
      </c>
      <c r="AY9" s="18">
        <v>303.7</v>
      </c>
      <c r="AZ9" s="116">
        <f t="shared" ref="AZ9" si="7">SUM(AV9:AY9)</f>
        <v>1239.0999999999999</v>
      </c>
      <c r="BA9" s="16">
        <v>300.10000000000002</v>
      </c>
      <c r="BB9" s="54">
        <v>304.10000000000002</v>
      </c>
      <c r="BC9" s="54">
        <v>277.5</v>
      </c>
      <c r="BD9" s="18">
        <v>240.7</v>
      </c>
      <c r="BE9" s="116">
        <f>SUM(BA9:BD9)</f>
        <v>1122.4000000000001</v>
      </c>
    </row>
    <row r="10" spans="1:57" s="7" customFormat="1" ht="11.25" x14ac:dyDescent="0.2">
      <c r="A10" s="7" t="s">
        <v>142</v>
      </c>
      <c r="C10" s="19">
        <v>316.7</v>
      </c>
      <c r="D10" s="20">
        <v>352.5</v>
      </c>
      <c r="E10" s="20">
        <v>349.4</v>
      </c>
      <c r="F10" s="21">
        <v>333.8</v>
      </c>
      <c r="G10" s="117">
        <f t="shared" ref="G10" si="8">SUM(C10:F10)</f>
        <v>1352.4</v>
      </c>
      <c r="H10" s="55">
        <v>325</v>
      </c>
      <c r="I10" s="55">
        <v>338.9</v>
      </c>
      <c r="J10" s="55">
        <v>339.8</v>
      </c>
      <c r="K10" s="21">
        <v>325.5</v>
      </c>
      <c r="L10" s="117">
        <f t="shared" ref="L10" si="9">SUM(H10:K10)</f>
        <v>1329.2</v>
      </c>
      <c r="M10" s="19">
        <v>334.8</v>
      </c>
      <c r="N10" s="55">
        <v>362</v>
      </c>
      <c r="O10" s="55">
        <v>361</v>
      </c>
      <c r="P10" s="21">
        <v>345.6</v>
      </c>
      <c r="Q10" s="117">
        <f>SUM(M10:P10)</f>
        <v>1403.4</v>
      </c>
      <c r="R10" s="19">
        <v>333.7</v>
      </c>
      <c r="S10" s="55">
        <v>373.3</v>
      </c>
      <c r="T10" s="55">
        <v>358.3</v>
      </c>
      <c r="U10" s="21">
        <v>352.6</v>
      </c>
      <c r="V10" s="117">
        <f>SUM(R10:U10)</f>
        <v>1417.9</v>
      </c>
      <c r="W10" s="19">
        <v>337.9</v>
      </c>
      <c r="X10" s="55">
        <v>377.8</v>
      </c>
      <c r="Y10" s="55">
        <v>370.7</v>
      </c>
      <c r="Z10" s="21">
        <v>345</v>
      </c>
      <c r="AA10" s="117">
        <f>SUM(W10:Z10)</f>
        <v>1431.4</v>
      </c>
      <c r="AB10" s="19">
        <v>320.39999999999998</v>
      </c>
      <c r="AC10" s="55">
        <v>293.7</v>
      </c>
      <c r="AD10" s="55">
        <v>374.9</v>
      </c>
      <c r="AE10" s="21">
        <v>360.7</v>
      </c>
      <c r="AF10" s="117">
        <f>SUM(AB10:AE10)</f>
        <v>1349.6999999999998</v>
      </c>
      <c r="AG10" s="19">
        <v>357.5</v>
      </c>
      <c r="AH10" s="55">
        <v>419.2</v>
      </c>
      <c r="AI10" s="55">
        <v>419.5</v>
      </c>
      <c r="AJ10" s="21">
        <v>421.6</v>
      </c>
      <c r="AK10" s="117">
        <f>SUM(AG10:AJ10)</f>
        <v>1617.8000000000002</v>
      </c>
      <c r="AL10" s="19">
        <v>418.8</v>
      </c>
      <c r="AM10" s="55">
        <v>461.6</v>
      </c>
      <c r="AN10" s="55">
        <v>421.1</v>
      </c>
      <c r="AO10" s="21">
        <v>370.6</v>
      </c>
      <c r="AP10" s="117">
        <f>SUM(AL10:AO10)</f>
        <v>1672.1</v>
      </c>
      <c r="AQ10" s="19">
        <v>364.4</v>
      </c>
      <c r="AR10" s="55">
        <v>395.6</v>
      </c>
      <c r="AS10" s="55">
        <v>372.7</v>
      </c>
      <c r="AT10" s="21">
        <v>348.1</v>
      </c>
      <c r="AU10" s="117">
        <f>SUM(AQ10:AT10)</f>
        <v>1480.8000000000002</v>
      </c>
      <c r="AV10" s="19">
        <v>333</v>
      </c>
      <c r="AW10" s="55">
        <v>371</v>
      </c>
      <c r="AX10" s="55">
        <v>356.3</v>
      </c>
      <c r="AY10" s="21">
        <v>332.5</v>
      </c>
      <c r="AZ10" s="117">
        <f>SUM(AV10:AY10)</f>
        <v>1392.8</v>
      </c>
      <c r="BA10" s="19">
        <v>331.3</v>
      </c>
      <c r="BB10" s="55">
        <v>362.5</v>
      </c>
      <c r="BC10" s="55">
        <v>356.4</v>
      </c>
      <c r="BD10" s="21">
        <v>324.10000000000002</v>
      </c>
      <c r="BE10" s="117">
        <f>SUM(BA10:BD10)</f>
        <v>1374.2999999999997</v>
      </c>
    </row>
    <row r="11" spans="1:57" s="7" customFormat="1" ht="11.25" x14ac:dyDescent="0.2">
      <c r="A11" s="22" t="s">
        <v>31</v>
      </c>
      <c r="C11" s="26">
        <f>SUM(C8:C10)</f>
        <v>966.2</v>
      </c>
      <c r="D11" s="27">
        <f t="shared" ref="D11:G11" si="10">SUM(D8:D10)</f>
        <v>997.3</v>
      </c>
      <c r="E11" s="27">
        <f t="shared" si="10"/>
        <v>1009.1</v>
      </c>
      <c r="F11" s="28">
        <f t="shared" si="10"/>
        <v>944.59999999999991</v>
      </c>
      <c r="G11" s="118">
        <f t="shared" si="10"/>
        <v>3917.2000000000003</v>
      </c>
      <c r="H11" s="56">
        <f>SUM(H8:H10)</f>
        <v>938.4</v>
      </c>
      <c r="I11" s="56">
        <f t="shared" ref="I11:L11" si="11">SUM(I8:I10)</f>
        <v>958.9</v>
      </c>
      <c r="J11" s="56">
        <f t="shared" si="11"/>
        <v>948.89999999999986</v>
      </c>
      <c r="K11" s="28">
        <f t="shared" si="11"/>
        <v>903.7</v>
      </c>
      <c r="L11" s="118">
        <f t="shared" si="11"/>
        <v>3749.8999999999996</v>
      </c>
      <c r="M11" s="26">
        <f>SUM(M8:M10)</f>
        <v>960.3</v>
      </c>
      <c r="N11" s="56">
        <f t="shared" ref="N11:Q11" si="12">SUM(N8:N10)</f>
        <v>989.3</v>
      </c>
      <c r="O11" s="56">
        <f t="shared" si="12"/>
        <v>1009.7</v>
      </c>
      <c r="P11" s="56">
        <f t="shared" si="12"/>
        <v>984.5</v>
      </c>
      <c r="Q11" s="118">
        <f t="shared" si="12"/>
        <v>3943.8</v>
      </c>
      <c r="R11" s="26">
        <f>SUM(R8:R10)</f>
        <v>1028.8</v>
      </c>
      <c r="S11" s="56">
        <f t="shared" ref="S11:V11" si="13">SUM(S8:S10)</f>
        <v>1102.5</v>
      </c>
      <c r="T11" s="56">
        <f t="shared" si="13"/>
        <v>1091.5</v>
      </c>
      <c r="U11" s="56">
        <f t="shared" si="13"/>
        <v>1046.7</v>
      </c>
      <c r="V11" s="118">
        <f t="shared" si="13"/>
        <v>4269.5</v>
      </c>
      <c r="W11" s="26">
        <f>SUM(W8:W10)</f>
        <v>1155.0999999999999</v>
      </c>
      <c r="X11" s="56">
        <f t="shared" ref="X11:AA11" si="14">SUM(X8:X10)</f>
        <v>1213.2</v>
      </c>
      <c r="Y11" s="56">
        <f t="shared" si="14"/>
        <v>1239.3</v>
      </c>
      <c r="Z11" s="56">
        <f t="shared" si="14"/>
        <v>1144.9000000000001</v>
      </c>
      <c r="AA11" s="118">
        <f t="shared" si="14"/>
        <v>4752.5</v>
      </c>
      <c r="AB11" s="26">
        <f>SUM(AB8:AB10)</f>
        <v>1045.5</v>
      </c>
      <c r="AC11" s="56">
        <f>SUM(AC8:AC10)</f>
        <v>845.10000000000014</v>
      </c>
      <c r="AD11" s="56">
        <f>SUM(AD8:AD10)</f>
        <v>1207.5999999999999</v>
      </c>
      <c r="AE11" s="56">
        <f>SUM(AE8:AE10)</f>
        <v>1182.03</v>
      </c>
      <c r="AF11" s="118">
        <f t="shared" ref="AF11" si="15">SUM(AF8:AF10)</f>
        <v>4280.2299999999996</v>
      </c>
      <c r="AG11" s="26">
        <f>SUM(AG8:AG10)</f>
        <v>1150.9000000000001</v>
      </c>
      <c r="AH11" s="56">
        <f>SUM(AH8:AH10)</f>
        <v>1269.6000000000001</v>
      </c>
      <c r="AI11" s="56">
        <f>SUM(AI8:AI10)</f>
        <v>1319.2</v>
      </c>
      <c r="AJ11" s="56">
        <f>SUM(AJ8:AJ10)</f>
        <v>1332.9</v>
      </c>
      <c r="AK11" s="118">
        <f t="shared" ref="AK11" si="16">SUM(AK8:AK10)</f>
        <v>5072.6000000000004</v>
      </c>
      <c r="AL11" s="26">
        <f>SUM(AL8:AL10)</f>
        <v>1322.3</v>
      </c>
      <c r="AM11" s="56">
        <f>SUM(AM8:AM10)</f>
        <v>1334.2</v>
      </c>
      <c r="AN11" s="56">
        <f>SUM(AN8:AN10)</f>
        <v>1294.4000000000001</v>
      </c>
      <c r="AO11" s="56">
        <f>SUM(AO8:AO10)</f>
        <v>1195.8000000000002</v>
      </c>
      <c r="AP11" s="118">
        <f t="shared" ref="AP11" si="17">SUM(AP8:AP10)</f>
        <v>5146.7000000000007</v>
      </c>
      <c r="AQ11" s="26">
        <f>SUM(AQ8:AQ10)</f>
        <v>1213.5999999999999</v>
      </c>
      <c r="AR11" s="56">
        <f>SUM(AR8:AR10)</f>
        <v>1221.1999999999998</v>
      </c>
      <c r="AS11" s="56">
        <f>SUM(AS8:AS10)</f>
        <v>1175.4000000000001</v>
      </c>
      <c r="AT11" s="56">
        <f>SUM(AT8:AT10)</f>
        <v>1115.0999999999999</v>
      </c>
      <c r="AU11" s="118">
        <f t="shared" ref="AU11" si="18">SUM(AU8:AU10)</f>
        <v>4725.3</v>
      </c>
      <c r="AV11" s="26">
        <f>SUM(AV8:AV10)</f>
        <v>1096.9000000000001</v>
      </c>
      <c r="AW11" s="56">
        <f>SUM(AW8:AW10)</f>
        <v>1128.5999999999999</v>
      </c>
      <c r="AX11" s="56">
        <f>SUM(AX8:AX10)</f>
        <v>1101.7</v>
      </c>
      <c r="AY11" s="56">
        <f>SUM(AY8:AY10)</f>
        <v>1056.4000000000001</v>
      </c>
      <c r="AZ11" s="118">
        <f t="shared" ref="AZ11" si="19">SUM(AZ8:AZ10)</f>
        <v>4383.6000000000004</v>
      </c>
      <c r="BA11" s="26">
        <f>SUM(BA8:BA10)</f>
        <v>1022.0999999999999</v>
      </c>
      <c r="BB11" s="56">
        <f>SUM(BB8:BB10)</f>
        <v>1058</v>
      </c>
      <c r="BC11" s="56">
        <f>SUM(BC8:BC10)</f>
        <v>1036.4000000000001</v>
      </c>
      <c r="BD11" s="56">
        <f>SUM(BD8:BD10)</f>
        <v>938.6</v>
      </c>
      <c r="BE11" s="118">
        <f t="shared" ref="BE11" si="20">SUM(BE8:BE10)</f>
        <v>4055.1</v>
      </c>
    </row>
    <row r="12" spans="1:57" s="7" customFormat="1" ht="9.9499999999999993" customHeight="1" x14ac:dyDescent="0.2">
      <c r="A12" s="22"/>
      <c r="C12" s="29"/>
      <c r="D12" s="30"/>
      <c r="E12" s="30"/>
      <c r="F12" s="31"/>
      <c r="G12" s="115"/>
      <c r="H12" s="30"/>
      <c r="I12" s="30"/>
      <c r="J12" s="30"/>
      <c r="K12" s="31"/>
      <c r="L12" s="115"/>
      <c r="M12" s="29"/>
      <c r="N12" s="30"/>
      <c r="O12" s="30"/>
      <c r="P12" s="31"/>
      <c r="Q12" s="115"/>
      <c r="R12" s="29"/>
      <c r="S12" s="30"/>
      <c r="T12" s="30"/>
      <c r="U12" s="31"/>
      <c r="V12" s="115"/>
      <c r="W12" s="29"/>
      <c r="X12" s="30"/>
      <c r="Y12" s="30"/>
      <c r="Z12" s="31"/>
      <c r="AA12" s="115"/>
      <c r="AB12" s="29"/>
      <c r="AC12" s="30"/>
      <c r="AD12" s="30"/>
      <c r="AE12" s="31"/>
      <c r="AF12" s="115"/>
      <c r="AG12" s="29"/>
      <c r="AH12" s="30"/>
      <c r="AI12" s="30"/>
      <c r="AJ12" s="31"/>
      <c r="AK12" s="115"/>
      <c r="AL12" s="29"/>
      <c r="AM12" s="30"/>
      <c r="AN12" s="30"/>
      <c r="AO12" s="31"/>
      <c r="AP12" s="115"/>
      <c r="AQ12" s="29"/>
      <c r="AR12" s="30"/>
      <c r="AS12" s="30"/>
      <c r="AT12" s="31"/>
      <c r="AU12" s="115"/>
      <c r="AV12" s="29"/>
      <c r="AW12" s="30"/>
      <c r="AX12" s="30"/>
      <c r="AY12" s="31"/>
      <c r="AZ12" s="115"/>
      <c r="BA12" s="29"/>
      <c r="BB12" s="30"/>
      <c r="BC12" s="30"/>
      <c r="BD12" s="31"/>
      <c r="BE12" s="115"/>
    </row>
    <row r="13" spans="1:57" s="7" customFormat="1" ht="11.25" x14ac:dyDescent="0.2">
      <c r="A13" s="22" t="s">
        <v>65</v>
      </c>
      <c r="C13" s="29"/>
      <c r="D13" s="30"/>
      <c r="E13" s="30"/>
      <c r="F13" s="31"/>
      <c r="G13" s="115"/>
      <c r="H13" s="30"/>
      <c r="I13" s="30"/>
      <c r="J13" s="30"/>
      <c r="K13" s="31"/>
      <c r="L13" s="115"/>
      <c r="M13" s="29"/>
      <c r="N13" s="30"/>
      <c r="O13" s="51"/>
      <c r="P13" s="31"/>
      <c r="Q13" s="115"/>
      <c r="R13" s="29"/>
      <c r="S13" s="30"/>
      <c r="T13" s="30"/>
      <c r="U13" s="31"/>
      <c r="V13" s="115"/>
      <c r="W13" s="29"/>
      <c r="X13" s="30"/>
      <c r="Y13" s="30"/>
      <c r="Z13" s="31"/>
      <c r="AA13" s="115"/>
      <c r="AB13" s="29"/>
      <c r="AC13" s="30"/>
      <c r="AD13" s="30"/>
      <c r="AE13" s="31"/>
      <c r="AF13" s="115"/>
      <c r="AG13" s="29"/>
      <c r="AH13" s="51"/>
      <c r="AI13" s="30"/>
      <c r="AJ13" s="31"/>
      <c r="AK13" s="115"/>
      <c r="AL13" s="29"/>
      <c r="AM13" s="51"/>
      <c r="AN13" s="30"/>
      <c r="AO13" s="31"/>
      <c r="AP13" s="115"/>
      <c r="AQ13" s="29"/>
      <c r="AR13" s="51"/>
      <c r="AS13" s="30"/>
      <c r="AT13" s="31"/>
      <c r="AU13" s="115"/>
      <c r="AV13" s="29"/>
      <c r="AW13" s="30"/>
      <c r="AX13" s="30"/>
      <c r="AY13" s="31"/>
      <c r="AZ13" s="115"/>
      <c r="BA13" s="29"/>
      <c r="BB13" s="30"/>
      <c r="BC13" s="30"/>
      <c r="BD13" s="31"/>
      <c r="BE13" s="115"/>
    </row>
    <row r="14" spans="1:57" s="7" customFormat="1" ht="11.25" x14ac:dyDescent="0.2">
      <c r="A14" s="7" t="s">
        <v>33</v>
      </c>
      <c r="C14" s="32">
        <v>5.6000000000000001E-2</v>
      </c>
      <c r="D14" s="33">
        <v>-7.0000000000000001E-3</v>
      </c>
      <c r="E14" s="33">
        <v>-7.0000000000000001E-3</v>
      </c>
      <c r="F14" s="34">
        <v>-2.4E-2</v>
      </c>
      <c r="G14" s="119">
        <v>3.0000000000000001E-3</v>
      </c>
      <c r="H14" s="33">
        <v>-1.2999999999999999E-2</v>
      </c>
      <c r="I14" s="33">
        <v>-1.0999999999999999E-2</v>
      </c>
      <c r="J14" s="33">
        <v>-2.3E-2</v>
      </c>
      <c r="K14" s="34">
        <v>-1.0999999999999999E-2</v>
      </c>
      <c r="L14" s="119">
        <v>-1.4E-2</v>
      </c>
      <c r="M14" s="32">
        <v>3.85E-2</v>
      </c>
      <c r="N14" s="33">
        <v>3.6499999999999998E-2</v>
      </c>
      <c r="O14" s="33">
        <v>6.1699999999999998E-2</v>
      </c>
      <c r="P14" s="34">
        <v>0.09</v>
      </c>
      <c r="Q14" s="119">
        <v>5.6300000000000003E-2</v>
      </c>
      <c r="R14" s="32">
        <v>5.6800000000000003E-2</v>
      </c>
      <c r="S14" s="33">
        <v>0.1</v>
      </c>
      <c r="T14" s="33">
        <v>5.8000000000000003E-2</v>
      </c>
      <c r="U14" s="34">
        <v>3.4000000000000002E-2</v>
      </c>
      <c r="V14" s="119">
        <v>6.2E-2</v>
      </c>
      <c r="W14" s="32">
        <v>-6.0000000000000001E-3</v>
      </c>
      <c r="X14" s="33">
        <v>-5.6000000000000001E-2</v>
      </c>
      <c r="Y14" s="33">
        <v>-2.1999999999999999E-2</v>
      </c>
      <c r="Z14" s="34">
        <v>-4.1000000000000002E-2</v>
      </c>
      <c r="AA14" s="119">
        <v>-3.1E-2</v>
      </c>
      <c r="AB14" s="32">
        <v>-0.11899999999999999</v>
      </c>
      <c r="AC14" s="33">
        <v>-0.312</v>
      </c>
      <c r="AD14" s="33">
        <v>-3.3000000000000002E-2</v>
      </c>
      <c r="AE14" s="34">
        <v>3.5999999999999997E-2</v>
      </c>
      <c r="AF14" s="119">
        <v>-0.108</v>
      </c>
      <c r="AG14" s="32">
        <v>0.111</v>
      </c>
      <c r="AH14" s="33">
        <v>0.502</v>
      </c>
      <c r="AI14" s="33">
        <v>8.4000000000000005E-2</v>
      </c>
      <c r="AJ14" s="34">
        <v>0.11</v>
      </c>
      <c r="AK14" s="120">
        <v>0.18099999999999999</v>
      </c>
      <c r="AL14" s="32">
        <v>0.13500000000000001</v>
      </c>
      <c r="AM14" s="33">
        <v>4.5999999999999999E-2</v>
      </c>
      <c r="AN14" s="33">
        <v>-2.5999999999999999E-2</v>
      </c>
      <c r="AO14" s="34">
        <v>-0.124</v>
      </c>
      <c r="AP14" s="120">
        <v>3.0000000000000001E-3</v>
      </c>
      <c r="AQ14" s="32">
        <v>-0.113</v>
      </c>
      <c r="AR14" s="33">
        <v>-0.115</v>
      </c>
      <c r="AS14" s="33">
        <v>-0.114</v>
      </c>
      <c r="AT14" s="34">
        <v>-7.1999999999999995E-2</v>
      </c>
      <c r="AU14" s="120">
        <v>-0.104</v>
      </c>
      <c r="AV14" s="32">
        <v>-9.6000000000000002E-2</v>
      </c>
      <c r="AW14" s="33">
        <v>-7.5999999999999998E-2</v>
      </c>
      <c r="AX14" s="33">
        <v>-6.3E-2</v>
      </c>
      <c r="AY14" s="34">
        <v>-5.2999999999999999E-2</v>
      </c>
      <c r="AZ14" s="120">
        <v>-7.1999999999999995E-2</v>
      </c>
      <c r="BA14" s="32">
        <v>-6.6000000000000003E-2</v>
      </c>
      <c r="BB14" s="33">
        <v>-0.06</v>
      </c>
      <c r="BC14" s="33">
        <v>-4.1000000000000002E-2</v>
      </c>
      <c r="BD14" s="34">
        <v>-0.06</v>
      </c>
      <c r="BE14" s="120">
        <v>-5.5E-2</v>
      </c>
    </row>
    <row r="15" spans="1:57" s="7" customFormat="1" ht="11.25" x14ac:dyDescent="0.2">
      <c r="A15" s="7" t="s">
        <v>66</v>
      </c>
      <c r="C15" s="32">
        <v>4.8000000000000001E-2</v>
      </c>
      <c r="D15" s="33">
        <v>0.05</v>
      </c>
      <c r="E15" s="33">
        <v>1.9E-2</v>
      </c>
      <c r="F15" s="34">
        <v>1.6E-2</v>
      </c>
      <c r="G15" s="119">
        <v>3.3000000000000002E-2</v>
      </c>
      <c r="H15" s="33">
        <v>1.2E-2</v>
      </c>
      <c r="I15" s="33">
        <v>4.0000000000000001E-3</v>
      </c>
      <c r="J15" s="33">
        <v>5.0000000000000001E-3</v>
      </c>
      <c r="K15" s="34">
        <v>7.0000000000000001E-3</v>
      </c>
      <c r="L15" s="119">
        <v>7.0000000000000001E-3</v>
      </c>
      <c r="M15" s="32">
        <v>1.14E-2</v>
      </c>
      <c r="N15" s="33">
        <v>1.7100000000000001E-2</v>
      </c>
      <c r="O15" s="33">
        <v>1.8599999999999998E-2</v>
      </c>
      <c r="P15" s="34">
        <v>1.8800000000000001E-2</v>
      </c>
      <c r="Q15" s="119">
        <v>1.7000000000000001E-2</v>
      </c>
      <c r="R15" s="32">
        <v>2.35E-2</v>
      </c>
      <c r="S15" s="33">
        <v>2.8000000000000001E-2</v>
      </c>
      <c r="T15" s="33">
        <v>2.7E-2</v>
      </c>
      <c r="U15" s="34">
        <v>2.9000000000000001E-2</v>
      </c>
      <c r="V15" s="119">
        <v>2.7E-2</v>
      </c>
      <c r="W15" s="32">
        <v>0.129</v>
      </c>
      <c r="X15" s="33">
        <v>0.156</v>
      </c>
      <c r="Y15" s="33">
        <v>0.15739807604214384</v>
      </c>
      <c r="Z15" s="34">
        <v>0.13400000000000001</v>
      </c>
      <c r="AA15" s="119">
        <v>0.14399999999999999</v>
      </c>
      <c r="AB15" s="32">
        <v>2.4E-2</v>
      </c>
      <c r="AC15" s="33">
        <v>8.9999999999999993E-3</v>
      </c>
      <c r="AD15" s="33">
        <v>0.01</v>
      </c>
      <c r="AE15" s="34">
        <v>4.7000000000000002E-3</v>
      </c>
      <c r="AF15" s="119">
        <v>1.2E-2</v>
      </c>
      <c r="AG15" s="32">
        <v>2E-3</v>
      </c>
      <c r="AH15" s="33">
        <v>0.01</v>
      </c>
      <c r="AI15" s="33">
        <v>1.7999999999999999E-2</v>
      </c>
      <c r="AJ15" s="34">
        <v>0.02</v>
      </c>
      <c r="AK15" s="120">
        <v>1.2999999999999999E-2</v>
      </c>
      <c r="AL15" s="32">
        <v>1.7999999999999999E-2</v>
      </c>
      <c r="AM15" s="33">
        <v>0.01</v>
      </c>
      <c r="AN15" s="33">
        <v>8.9999999999999993E-3</v>
      </c>
      <c r="AO15" s="34">
        <v>2.3E-2</v>
      </c>
      <c r="AP15" s="120">
        <v>1.4999999999999999E-2</v>
      </c>
      <c r="AQ15" s="32">
        <v>3.1E-2</v>
      </c>
      <c r="AR15" s="33">
        <v>0.03</v>
      </c>
      <c r="AS15" s="33">
        <v>2.1999999999999999E-2</v>
      </c>
      <c r="AT15" s="34">
        <v>5.0000000000000001E-3</v>
      </c>
      <c r="AU15" s="120">
        <v>2.1999999999999999E-2</v>
      </c>
      <c r="AV15" s="32">
        <v>0</v>
      </c>
      <c r="AW15" s="33">
        <v>0</v>
      </c>
      <c r="AX15" s="33">
        <v>0</v>
      </c>
      <c r="AY15" s="34">
        <v>0</v>
      </c>
      <c r="AZ15" s="120">
        <v>0</v>
      </c>
      <c r="BA15" s="32">
        <v>0</v>
      </c>
      <c r="BB15" s="33">
        <v>0</v>
      </c>
      <c r="BC15" s="33">
        <v>0</v>
      </c>
      <c r="BD15" s="34">
        <v>0</v>
      </c>
      <c r="BE15" s="120">
        <v>0</v>
      </c>
    </row>
    <row r="16" spans="1:57" s="7" customFormat="1" ht="11.25" x14ac:dyDescent="0.2">
      <c r="A16" s="7" t="s">
        <v>67</v>
      </c>
      <c r="C16" s="32">
        <v>0</v>
      </c>
      <c r="D16" s="33">
        <v>0</v>
      </c>
      <c r="E16" s="33">
        <v>0</v>
      </c>
      <c r="F16" s="34">
        <v>-1E-3</v>
      </c>
      <c r="G16" s="119">
        <v>0</v>
      </c>
      <c r="H16" s="33">
        <v>-2.8000000000000001E-2</v>
      </c>
      <c r="I16" s="33">
        <v>-3.2000000000000001E-2</v>
      </c>
      <c r="J16" s="33">
        <v>-4.2000000000000003E-2</v>
      </c>
      <c r="K16" s="34">
        <v>-3.9E-2</v>
      </c>
      <c r="L16" s="119">
        <v>-3.5999999999999997E-2</v>
      </c>
      <c r="M16" s="32">
        <v>-2.6599999999999999E-2</v>
      </c>
      <c r="N16" s="33">
        <v>-2.1999999999999999E-2</v>
      </c>
      <c r="O16" s="33">
        <v>-1.67E-2</v>
      </c>
      <c r="P16" s="34">
        <v>-1.9699999999999999E-2</v>
      </c>
      <c r="Q16" s="119">
        <v>-2.1000000000000001E-2</v>
      </c>
      <c r="R16" s="32">
        <v>-8.9999999999999993E-3</v>
      </c>
      <c r="S16" s="33">
        <v>-1.4E-2</v>
      </c>
      <c r="T16" s="33">
        <v>-4.0000000000000001E-3</v>
      </c>
      <c r="U16" s="34">
        <v>0</v>
      </c>
      <c r="V16" s="119">
        <v>-6.0000000000000001E-3</v>
      </c>
      <c r="W16" s="32">
        <v>0</v>
      </c>
      <c r="X16" s="33">
        <v>0</v>
      </c>
      <c r="Y16" s="33">
        <v>0</v>
      </c>
      <c r="Z16" s="34">
        <v>0</v>
      </c>
      <c r="AA16" s="119">
        <v>0</v>
      </c>
      <c r="AB16" s="32">
        <v>0</v>
      </c>
      <c r="AC16" s="33">
        <v>0</v>
      </c>
      <c r="AD16" s="33">
        <v>-3.0000000000000001E-3</v>
      </c>
      <c r="AE16" s="34">
        <v>-8.5000000000000006E-3</v>
      </c>
      <c r="AF16" s="119">
        <v>-3.0000000000000001E-3</v>
      </c>
      <c r="AG16" s="32">
        <v>-1.0999999999999999E-2</v>
      </c>
      <c r="AH16" s="33">
        <v>-0.01</v>
      </c>
      <c r="AI16" s="33">
        <v>-0.01</v>
      </c>
      <c r="AJ16" s="34">
        <v>-2E-3</v>
      </c>
      <c r="AK16" s="120">
        <v>-8.9999999999999993E-3</v>
      </c>
      <c r="AL16" s="32">
        <v>-4.0000000000000001E-3</v>
      </c>
      <c r="AM16" s="33">
        <v>-5.0000000000000001E-3</v>
      </c>
      <c r="AN16" s="33">
        <v>-2E-3</v>
      </c>
      <c r="AO16" s="33">
        <v>-2E-3</v>
      </c>
      <c r="AP16" s="120">
        <v>-3.0000000000000001E-3</v>
      </c>
      <c r="AQ16" s="32">
        <v>0</v>
      </c>
      <c r="AR16" s="33">
        <v>0</v>
      </c>
      <c r="AS16" s="33">
        <v>0</v>
      </c>
      <c r="AT16" s="33">
        <v>0</v>
      </c>
      <c r="AU16" s="120">
        <v>0</v>
      </c>
      <c r="AV16" s="32">
        <v>0</v>
      </c>
      <c r="AW16" s="33">
        <v>0</v>
      </c>
      <c r="AX16" s="33">
        <v>0</v>
      </c>
      <c r="AY16" s="33">
        <v>0</v>
      </c>
      <c r="AZ16" s="120">
        <v>0</v>
      </c>
      <c r="BA16" s="32">
        <v>-2E-3</v>
      </c>
      <c r="BB16" s="33">
        <v>-3.0000000000000001E-3</v>
      </c>
      <c r="BC16" s="33">
        <v>-1.7999999999999999E-2</v>
      </c>
      <c r="BD16" s="33">
        <v>-5.0999999999999997E-2</v>
      </c>
      <c r="BE16" s="120">
        <v>-0.02</v>
      </c>
    </row>
    <row r="17" spans="1:57" s="7" customFormat="1" ht="11.25" x14ac:dyDescent="0.2">
      <c r="A17" s="22" t="s">
        <v>31</v>
      </c>
      <c r="C17" s="32">
        <f t="shared" ref="C17:F17" si="21">SUM(C14:C16)</f>
        <v>0.10400000000000001</v>
      </c>
      <c r="D17" s="33">
        <f t="shared" si="21"/>
        <v>4.3000000000000003E-2</v>
      </c>
      <c r="E17" s="33">
        <f t="shared" si="21"/>
        <v>1.2E-2</v>
      </c>
      <c r="F17" s="34">
        <f t="shared" si="21"/>
        <v>-9.0000000000000011E-3</v>
      </c>
      <c r="G17" s="119">
        <f>SUM(G14:G16)</f>
        <v>3.6000000000000004E-2</v>
      </c>
      <c r="H17" s="33">
        <f t="shared" ref="H17:K17" si="22">SUM(H14:H16)</f>
        <v>-2.8999999999999998E-2</v>
      </c>
      <c r="I17" s="33">
        <f t="shared" si="22"/>
        <v>-3.9E-2</v>
      </c>
      <c r="J17" s="33">
        <f t="shared" si="22"/>
        <v>-0.06</v>
      </c>
      <c r="K17" s="34">
        <f t="shared" si="22"/>
        <v>-4.2999999999999997E-2</v>
      </c>
      <c r="L17" s="119">
        <f>SUM(L14:L16)</f>
        <v>-4.2999999999999997E-2</v>
      </c>
      <c r="M17" s="32">
        <f t="shared" ref="M17:Z17" si="23">SUM(M14:M16)</f>
        <v>2.3300000000000001E-2</v>
      </c>
      <c r="N17" s="33">
        <f t="shared" si="23"/>
        <v>3.1599999999999996E-2</v>
      </c>
      <c r="O17" s="33">
        <f>SUM(O14:O16)</f>
        <v>6.359999999999999E-2</v>
      </c>
      <c r="P17" s="33">
        <f>SUM(P14:P16)</f>
        <v>8.9099999999999999E-2</v>
      </c>
      <c r="Q17" s="119">
        <f t="shared" si="23"/>
        <v>5.2299999999999999E-2</v>
      </c>
      <c r="R17" s="32">
        <f t="shared" si="23"/>
        <v>7.1300000000000016E-2</v>
      </c>
      <c r="S17" s="33">
        <f t="shared" si="23"/>
        <v>0.114</v>
      </c>
      <c r="T17" s="33">
        <f t="shared" si="23"/>
        <v>8.1000000000000003E-2</v>
      </c>
      <c r="U17" s="33">
        <f t="shared" si="23"/>
        <v>6.3E-2</v>
      </c>
      <c r="V17" s="119">
        <f t="shared" si="23"/>
        <v>8.299999999999999E-2</v>
      </c>
      <c r="W17" s="32">
        <f t="shared" si="23"/>
        <v>0.123</v>
      </c>
      <c r="X17" s="33">
        <f t="shared" si="23"/>
        <v>0.1</v>
      </c>
      <c r="Y17" s="33">
        <f t="shared" si="23"/>
        <v>0.13539807604214385</v>
      </c>
      <c r="Z17" s="33">
        <f t="shared" si="23"/>
        <v>9.2999999999999999E-2</v>
      </c>
      <c r="AA17" s="119">
        <f>SUM(AA14:AA16)</f>
        <v>0.11299999999999999</v>
      </c>
      <c r="AB17" s="32">
        <f t="shared" ref="AB17:AE17" si="24">SUM(AB14:AB16)</f>
        <v>-9.5000000000000001E-2</v>
      </c>
      <c r="AC17" s="33">
        <f>SUM(AC14:AC16)</f>
        <v>-0.30299999999999999</v>
      </c>
      <c r="AD17" s="33">
        <f t="shared" si="24"/>
        <v>-2.5999999999999999E-2</v>
      </c>
      <c r="AE17" s="33">
        <f t="shared" si="24"/>
        <v>3.2199999999999999E-2</v>
      </c>
      <c r="AF17" s="119">
        <v>-9.9000000000000005E-2</v>
      </c>
      <c r="AG17" s="32">
        <f t="shared" ref="AG17:AH17" si="25">SUM(AG14:AG16)</f>
        <v>0.10200000000000001</v>
      </c>
      <c r="AH17" s="33">
        <f t="shared" si="25"/>
        <v>0.502</v>
      </c>
      <c r="AI17" s="33">
        <f t="shared" ref="AI17:AN17" si="26">SUM(AI14:AI16)</f>
        <v>9.2000000000000012E-2</v>
      </c>
      <c r="AJ17" s="33">
        <f t="shared" si="26"/>
        <v>0.128</v>
      </c>
      <c r="AK17" s="120">
        <f t="shared" si="26"/>
        <v>0.185</v>
      </c>
      <c r="AL17" s="33">
        <f t="shared" si="26"/>
        <v>0.14899999999999999</v>
      </c>
      <c r="AM17" s="33">
        <f t="shared" si="26"/>
        <v>5.1000000000000004E-2</v>
      </c>
      <c r="AN17" s="33">
        <f t="shared" si="26"/>
        <v>-1.9000000000000003E-2</v>
      </c>
      <c r="AO17" s="33">
        <f>SUM(AO14:AO16)</f>
        <v>-0.10300000000000001</v>
      </c>
      <c r="AP17" s="120">
        <f>SUM(AP14:AP16)</f>
        <v>1.4999999999999999E-2</v>
      </c>
      <c r="AQ17" s="33">
        <f t="shared" ref="AQ17:AR17" si="27">SUM(AQ14:AQ16)</f>
        <v>-8.2000000000000003E-2</v>
      </c>
      <c r="AR17" s="33">
        <f t="shared" si="27"/>
        <v>-8.5000000000000006E-2</v>
      </c>
      <c r="AS17" s="33">
        <f t="shared" ref="AS17:AT17" si="28">SUM(AS14:AS16)</f>
        <v>-9.1999999999999998E-2</v>
      </c>
      <c r="AT17" s="33">
        <f t="shared" si="28"/>
        <v>-6.699999999999999E-2</v>
      </c>
      <c r="AU17" s="120">
        <f>SUM(AU14:AU16)</f>
        <v>-8.199999999999999E-2</v>
      </c>
      <c r="AV17" s="33">
        <f t="shared" ref="AV17:AW17" si="29">SUM(AV14:AV16)</f>
        <v>-9.6000000000000002E-2</v>
      </c>
      <c r="AW17" s="33">
        <f t="shared" si="29"/>
        <v>-7.5999999999999998E-2</v>
      </c>
      <c r="AX17" s="33">
        <f>SUM(AX14:AX16)</f>
        <v>-6.3E-2</v>
      </c>
      <c r="AY17" s="33">
        <f>SUM(AY14:AY16)</f>
        <v>-5.2999999999999999E-2</v>
      </c>
      <c r="AZ17" s="120">
        <f>SUM(AZ14:AZ16)</f>
        <v>-7.1999999999999995E-2</v>
      </c>
      <c r="BA17" s="33">
        <f t="shared" ref="BA17:BB17" si="30">SUM(BA14:BA16)</f>
        <v>-6.8000000000000005E-2</v>
      </c>
      <c r="BB17" s="33">
        <f t="shared" si="30"/>
        <v>-6.3E-2</v>
      </c>
      <c r="BC17" s="33">
        <f>SUM(BC14:BC16)</f>
        <v>-5.8999999999999997E-2</v>
      </c>
      <c r="BD17" s="33">
        <f>SUM(BD14:BD16)</f>
        <v>-0.11099999999999999</v>
      </c>
      <c r="BE17" s="120">
        <f>SUM(BE14:BE16)</f>
        <v>-7.4999999999999997E-2</v>
      </c>
    </row>
    <row r="18" spans="1:57" s="7" customFormat="1" ht="9.9499999999999993" customHeight="1" thickBot="1" x14ac:dyDescent="0.25">
      <c r="A18" s="22"/>
      <c r="C18" s="32"/>
      <c r="D18" s="33"/>
      <c r="E18" s="33"/>
      <c r="F18" s="34"/>
      <c r="G18" s="115"/>
      <c r="H18" s="33"/>
      <c r="I18" s="33"/>
      <c r="J18" s="33"/>
      <c r="K18" s="34"/>
      <c r="L18" s="115"/>
      <c r="M18" s="32"/>
      <c r="N18" s="33"/>
      <c r="O18" s="33"/>
      <c r="P18" s="34"/>
      <c r="Q18" s="115"/>
      <c r="R18" s="32"/>
      <c r="S18" s="33"/>
      <c r="T18" s="33"/>
      <c r="U18" s="34"/>
      <c r="V18" s="115"/>
      <c r="W18" s="32"/>
      <c r="X18" s="33"/>
      <c r="Y18" s="33"/>
      <c r="Z18" s="34"/>
      <c r="AA18" s="115"/>
      <c r="AB18" s="32"/>
      <c r="AC18" s="33"/>
      <c r="AD18" s="33"/>
      <c r="AE18" s="34"/>
      <c r="AF18" s="115"/>
      <c r="AG18" s="32"/>
      <c r="AH18" s="33"/>
      <c r="AI18" s="33"/>
      <c r="AJ18" s="34"/>
      <c r="AK18" s="115"/>
      <c r="AL18" s="32"/>
      <c r="AM18" s="33"/>
      <c r="AN18" s="33"/>
      <c r="AO18" s="34"/>
      <c r="AP18" s="115"/>
      <c r="AQ18" s="32"/>
      <c r="AR18" s="33"/>
      <c r="AS18" s="33"/>
      <c r="AT18" s="34"/>
      <c r="AU18" s="115"/>
      <c r="AV18" s="32"/>
      <c r="AW18" s="33"/>
      <c r="AX18" s="33"/>
      <c r="AY18" s="34"/>
      <c r="AZ18" s="115"/>
      <c r="BA18" s="32"/>
      <c r="BB18" s="33"/>
      <c r="BC18" s="33"/>
      <c r="BD18" s="34"/>
      <c r="BE18" s="115"/>
    </row>
    <row r="19" spans="1:57" s="7" customFormat="1" ht="12" thickBot="1" x14ac:dyDescent="0.25">
      <c r="A19" s="13" t="s">
        <v>68</v>
      </c>
      <c r="C19" s="14"/>
      <c r="F19" s="15"/>
      <c r="G19" s="115"/>
      <c r="K19" s="15"/>
      <c r="L19" s="115"/>
      <c r="M19" s="14"/>
      <c r="P19" s="15"/>
      <c r="Q19" s="115"/>
      <c r="R19" s="14"/>
      <c r="U19" s="15"/>
      <c r="V19" s="115"/>
      <c r="W19" s="14"/>
      <c r="Z19" s="15"/>
      <c r="AA19" s="115"/>
      <c r="AB19" s="14"/>
      <c r="AE19" s="15"/>
      <c r="AF19" s="115"/>
      <c r="AG19" s="14"/>
      <c r="AJ19" s="15"/>
      <c r="AK19" s="115"/>
      <c r="AL19" s="14"/>
      <c r="AO19" s="15"/>
      <c r="AP19" s="115"/>
      <c r="AQ19" s="14"/>
      <c r="AT19" s="15"/>
      <c r="AU19" s="115"/>
      <c r="AV19" s="14"/>
      <c r="AY19" s="15"/>
      <c r="AZ19" s="115"/>
      <c r="BA19" s="14"/>
      <c r="BD19" s="15"/>
      <c r="BE19" s="115"/>
    </row>
    <row r="20" spans="1:57" s="7" customFormat="1" ht="11.25" x14ac:dyDescent="0.2">
      <c r="A20" s="7" t="s">
        <v>141</v>
      </c>
      <c r="C20" s="16">
        <v>460.2</v>
      </c>
      <c r="D20" s="17">
        <v>443.4</v>
      </c>
      <c r="E20" s="17">
        <v>463.6</v>
      </c>
      <c r="F20" s="18">
        <v>412.8</v>
      </c>
      <c r="G20" s="116">
        <f>SUM(C20:F20)</f>
        <v>1779.9999999999998</v>
      </c>
      <c r="H20" s="54">
        <v>405.6</v>
      </c>
      <c r="I20" s="54">
        <v>394.8</v>
      </c>
      <c r="J20" s="54">
        <v>399.7</v>
      </c>
      <c r="K20" s="18">
        <v>363.8</v>
      </c>
      <c r="L20" s="116">
        <f>SUM(H20:K20)</f>
        <v>1563.9</v>
      </c>
      <c r="M20" s="16">
        <v>403.1</v>
      </c>
      <c r="N20" s="54">
        <v>399.9</v>
      </c>
      <c r="O20" s="54">
        <v>431.6</v>
      </c>
      <c r="P20" s="18">
        <v>415.8</v>
      </c>
      <c r="Q20" s="116">
        <f>SUM(M20:P20)</f>
        <v>1650.3999999999999</v>
      </c>
      <c r="R20" s="16">
        <v>439.2</v>
      </c>
      <c r="S20" s="54">
        <v>465.2</v>
      </c>
      <c r="T20" s="54">
        <v>490.2</v>
      </c>
      <c r="U20" s="18">
        <v>447.3</v>
      </c>
      <c r="V20" s="116">
        <f>SUM(R20:U20)</f>
        <v>1841.8999999999999</v>
      </c>
      <c r="W20" s="16">
        <v>564.5</v>
      </c>
      <c r="X20" s="54">
        <v>578.6</v>
      </c>
      <c r="Y20" s="54">
        <v>612.20000000000005</v>
      </c>
      <c r="Z20" s="18">
        <v>540.29999999999995</v>
      </c>
      <c r="AA20" s="116">
        <f>SUM(W20:Z20)</f>
        <v>2295.6</v>
      </c>
      <c r="AB20" s="16">
        <v>500.2</v>
      </c>
      <c r="AC20" s="54">
        <v>414.6</v>
      </c>
      <c r="AD20" s="54">
        <v>599.79999999999995</v>
      </c>
      <c r="AE20" s="140">
        <v>556.9</v>
      </c>
      <c r="AF20" s="116">
        <f>SUM(AB20:AE20)</f>
        <v>2071.5</v>
      </c>
      <c r="AG20" s="16">
        <v>545.79999999999995</v>
      </c>
      <c r="AH20" s="150">
        <v>619.70000000000005</v>
      </c>
      <c r="AI20" s="150">
        <v>675.5</v>
      </c>
      <c r="AJ20" s="140">
        <v>659</v>
      </c>
      <c r="AK20" s="142">
        <f>SUM(AG20:AJ20)</f>
        <v>2500</v>
      </c>
      <c r="AL20" s="16">
        <v>651.4</v>
      </c>
      <c r="AM20" s="150">
        <v>623.9</v>
      </c>
      <c r="AN20" s="150">
        <v>590.79999999999995</v>
      </c>
      <c r="AO20" s="140">
        <v>530.70000000000005</v>
      </c>
      <c r="AP20" s="142">
        <f>SUM(AL20:AO20)</f>
        <v>2396.8000000000002</v>
      </c>
      <c r="AQ20" s="16">
        <v>538.1</v>
      </c>
      <c r="AR20" s="150">
        <v>512.9</v>
      </c>
      <c r="AS20" s="150">
        <v>490.7</v>
      </c>
      <c r="AT20" s="140">
        <v>454.9</v>
      </c>
      <c r="AU20" s="142">
        <f>SUM(AQ20:AT20)</f>
        <v>1996.6</v>
      </c>
      <c r="AV20" s="16">
        <v>454.4</v>
      </c>
      <c r="AW20" s="150">
        <v>444.5</v>
      </c>
      <c r="AX20" s="150">
        <v>451.6</v>
      </c>
      <c r="AY20" s="140">
        <v>426.2</v>
      </c>
      <c r="AZ20" s="142">
        <f>SUM(AV20:AY20)</f>
        <v>1776.7</v>
      </c>
      <c r="BA20" s="16">
        <v>395.9</v>
      </c>
      <c r="BB20" s="150">
        <v>396.6</v>
      </c>
      <c r="BC20" s="150">
        <v>407.5</v>
      </c>
      <c r="BD20" s="140">
        <v>379.4</v>
      </c>
      <c r="BE20" s="142">
        <f>SUM(BA20:BD20)</f>
        <v>1579.4</v>
      </c>
    </row>
    <row r="21" spans="1:57" s="7" customFormat="1" ht="11.25" x14ac:dyDescent="0.2">
      <c r="A21" s="7" t="s">
        <v>30</v>
      </c>
      <c r="C21" s="16">
        <v>205.3</v>
      </c>
      <c r="D21" s="17">
        <v>216.3</v>
      </c>
      <c r="E21" s="17">
        <v>212.19999999999993</v>
      </c>
      <c r="F21" s="18">
        <v>213.4</v>
      </c>
      <c r="G21" s="116">
        <f>SUM(C21:F21)</f>
        <v>847.19999999999993</v>
      </c>
      <c r="H21" s="54">
        <v>221.5</v>
      </c>
      <c r="I21" s="54">
        <v>237.2</v>
      </c>
      <c r="J21" s="54">
        <v>221.2</v>
      </c>
      <c r="K21" s="18">
        <v>226.39999999999998</v>
      </c>
      <c r="L21" s="116">
        <f>SUM(H21:K21)</f>
        <v>906.3</v>
      </c>
      <c r="M21" s="16">
        <v>236.3</v>
      </c>
      <c r="N21" s="54">
        <v>240.1</v>
      </c>
      <c r="O21" s="54">
        <v>229.7</v>
      </c>
      <c r="P21" s="18">
        <v>236.5</v>
      </c>
      <c r="Q21" s="116">
        <f>SUM(M21:P21)</f>
        <v>942.59999999999991</v>
      </c>
      <c r="R21" s="16">
        <v>268.10000000000002</v>
      </c>
      <c r="S21" s="54">
        <v>276.5</v>
      </c>
      <c r="T21" s="54">
        <v>254.2</v>
      </c>
      <c r="U21" s="18">
        <v>260.2</v>
      </c>
      <c r="V21" s="116">
        <f>SUM(R21:U21)</f>
        <v>1059</v>
      </c>
      <c r="W21" s="16">
        <v>263.8</v>
      </c>
      <c r="X21" s="54">
        <v>267.7</v>
      </c>
      <c r="Y21" s="54">
        <v>268.10000000000002</v>
      </c>
      <c r="Z21" s="18">
        <v>270.39999999999998</v>
      </c>
      <c r="AA21" s="116">
        <f>SUM(W21:Z21)</f>
        <v>1070</v>
      </c>
      <c r="AB21" s="16">
        <v>235.3</v>
      </c>
      <c r="AC21" s="54">
        <v>141.19999999999999</v>
      </c>
      <c r="AD21" s="54">
        <v>243.7</v>
      </c>
      <c r="AE21" s="140">
        <v>273.8</v>
      </c>
      <c r="AF21" s="116">
        <f>SUM(AB21:AE21)</f>
        <v>894</v>
      </c>
      <c r="AG21" s="16">
        <v>258.5</v>
      </c>
      <c r="AH21" s="150">
        <v>242.4</v>
      </c>
      <c r="AI21" s="150">
        <v>236.6</v>
      </c>
      <c r="AJ21" s="140">
        <v>265</v>
      </c>
      <c r="AK21" s="142">
        <f>SUM(AG21:AJ21)</f>
        <v>1002.5</v>
      </c>
      <c r="AL21" s="16">
        <v>265</v>
      </c>
      <c r="AM21" s="150">
        <v>260.5</v>
      </c>
      <c r="AN21" s="150">
        <v>291.8</v>
      </c>
      <c r="AO21" s="140">
        <v>303.2</v>
      </c>
      <c r="AP21" s="142">
        <f>SUM(AL21:AO21)</f>
        <v>1120.5</v>
      </c>
      <c r="AQ21" s="16">
        <v>321.10000000000002</v>
      </c>
      <c r="AR21" s="150">
        <v>321.7</v>
      </c>
      <c r="AS21" s="150">
        <v>319.7</v>
      </c>
      <c r="AT21" s="140">
        <v>318.8</v>
      </c>
      <c r="AU21" s="142">
        <f>SUM(AQ21:AT21)</f>
        <v>1281.3</v>
      </c>
      <c r="AV21" s="16">
        <v>316.3</v>
      </c>
      <c r="AW21" s="150">
        <v>320.89999999999998</v>
      </c>
      <c r="AX21" s="150">
        <v>301.39999999999998</v>
      </c>
      <c r="AY21" s="140">
        <v>303.8</v>
      </c>
      <c r="AZ21" s="142">
        <f>SUM(AV21:AY21)</f>
        <v>1242.4000000000001</v>
      </c>
      <c r="BA21" s="16">
        <v>300.3</v>
      </c>
      <c r="BB21" s="150">
        <v>304.2</v>
      </c>
      <c r="BC21" s="150">
        <v>278.10000000000002</v>
      </c>
      <c r="BD21" s="140">
        <v>241.4</v>
      </c>
      <c r="BE21" s="142">
        <f>SUM(BA21:BD21)</f>
        <v>1124</v>
      </c>
    </row>
    <row r="22" spans="1:57" s="7" customFormat="1" ht="11.25" x14ac:dyDescent="0.2">
      <c r="A22" s="7" t="s">
        <v>142</v>
      </c>
      <c r="C22" s="19">
        <v>324.7</v>
      </c>
      <c r="D22" s="20">
        <v>359.7</v>
      </c>
      <c r="E22" s="20">
        <v>355.7</v>
      </c>
      <c r="F22" s="21">
        <v>339</v>
      </c>
      <c r="G22" s="117">
        <f t="shared" ref="G22" si="31">SUM(C22:F22)</f>
        <v>1379.1</v>
      </c>
      <c r="H22" s="55">
        <v>331</v>
      </c>
      <c r="I22" s="55">
        <v>344.1</v>
      </c>
      <c r="J22" s="55">
        <v>344.4</v>
      </c>
      <c r="K22" s="21">
        <v>331.5</v>
      </c>
      <c r="L22" s="117">
        <f t="shared" ref="L22" si="32">SUM(H22:K22)</f>
        <v>1351</v>
      </c>
      <c r="M22" s="19">
        <v>339.9</v>
      </c>
      <c r="N22" s="55">
        <v>367.5</v>
      </c>
      <c r="O22" s="55">
        <v>366.4</v>
      </c>
      <c r="P22" s="21">
        <v>349.3</v>
      </c>
      <c r="Q22" s="117">
        <f t="shared" ref="Q22:Q23" si="33">SUM(M22:P22)</f>
        <v>1423.1</v>
      </c>
      <c r="R22" s="19">
        <v>337.7</v>
      </c>
      <c r="S22" s="55">
        <v>378.2</v>
      </c>
      <c r="T22" s="55">
        <v>363.4</v>
      </c>
      <c r="U22" s="21">
        <v>356.7</v>
      </c>
      <c r="V22" s="117">
        <f t="shared" ref="V22:V23" si="34">SUM(R22:U22)</f>
        <v>1436</v>
      </c>
      <c r="W22" s="19">
        <v>342.2</v>
      </c>
      <c r="X22" s="55">
        <v>381.8</v>
      </c>
      <c r="Y22" s="55">
        <v>374.3</v>
      </c>
      <c r="Z22" s="21">
        <v>349.1</v>
      </c>
      <c r="AA22" s="117">
        <f t="shared" ref="AA22:AA23" si="35">SUM(W22:Z22)</f>
        <v>1447.4</v>
      </c>
      <c r="AB22" s="19">
        <v>325.60000000000002</v>
      </c>
      <c r="AC22" s="55">
        <v>296.2</v>
      </c>
      <c r="AD22" s="55">
        <v>377.7</v>
      </c>
      <c r="AE22" s="132">
        <v>364</v>
      </c>
      <c r="AF22" s="117">
        <f t="shared" ref="AF22:AF23" si="36">SUM(AB22:AE22)</f>
        <v>1363.5</v>
      </c>
      <c r="AG22" s="19">
        <v>361.1</v>
      </c>
      <c r="AH22" s="131">
        <v>422.5</v>
      </c>
      <c r="AI22" s="131">
        <v>422.7</v>
      </c>
      <c r="AJ22" s="132">
        <v>424.9</v>
      </c>
      <c r="AK22" s="143">
        <f t="shared" ref="AK22:AK23" si="37">SUM(AG22:AJ22)</f>
        <v>1631.1999999999998</v>
      </c>
      <c r="AL22" s="19">
        <v>423.1</v>
      </c>
      <c r="AM22" s="131">
        <v>465.4</v>
      </c>
      <c r="AN22" s="131">
        <v>424.9</v>
      </c>
      <c r="AO22" s="132">
        <v>373.2</v>
      </c>
      <c r="AP22" s="143">
        <f t="shared" ref="AP22:AP23" si="38">SUM(AL22:AO22)</f>
        <v>1686.6000000000001</v>
      </c>
      <c r="AQ22" s="19">
        <v>367.5</v>
      </c>
      <c r="AR22" s="131">
        <v>399</v>
      </c>
      <c r="AS22" s="131">
        <v>375.5</v>
      </c>
      <c r="AT22" s="132">
        <v>350.5</v>
      </c>
      <c r="AU22" s="143">
        <f t="shared" ref="AU22:AU23" si="39">SUM(AQ22:AT22)</f>
        <v>1492.5</v>
      </c>
      <c r="AV22" s="19">
        <v>335.5</v>
      </c>
      <c r="AW22" s="131">
        <v>374</v>
      </c>
      <c r="AX22" s="131">
        <v>358.4</v>
      </c>
      <c r="AY22" s="132">
        <v>334.7</v>
      </c>
      <c r="AZ22" s="143">
        <f t="shared" ref="AZ22:AZ23" si="40">SUM(AV22:AY22)</f>
        <v>1402.6000000000001</v>
      </c>
      <c r="BA22" s="19">
        <v>333.6</v>
      </c>
      <c r="BB22" s="131">
        <v>363.9</v>
      </c>
      <c r="BC22" s="131">
        <v>358.5</v>
      </c>
      <c r="BD22" s="132">
        <v>325.8</v>
      </c>
      <c r="BE22" s="143">
        <f t="shared" ref="BE22:BE23" si="41">SUM(BA22:BD22)</f>
        <v>1381.8</v>
      </c>
    </row>
    <row r="23" spans="1:57" s="7" customFormat="1" ht="11.25" x14ac:dyDescent="0.2">
      <c r="A23" s="22" t="s">
        <v>31</v>
      </c>
      <c r="C23" s="26">
        <f t="shared" ref="C23:P23" si="42">SUM(C20:C22)</f>
        <v>990.2</v>
      </c>
      <c r="D23" s="27">
        <f t="shared" si="42"/>
        <v>1019.4000000000001</v>
      </c>
      <c r="E23" s="27">
        <f t="shared" si="42"/>
        <v>1031.5</v>
      </c>
      <c r="F23" s="28">
        <f t="shared" si="42"/>
        <v>965.2</v>
      </c>
      <c r="G23" s="118">
        <f t="shared" si="42"/>
        <v>4006.2999999999997</v>
      </c>
      <c r="H23" s="56">
        <f t="shared" si="42"/>
        <v>958.1</v>
      </c>
      <c r="I23" s="56">
        <f t="shared" si="42"/>
        <v>976.1</v>
      </c>
      <c r="J23" s="56">
        <f t="shared" si="42"/>
        <v>965.3</v>
      </c>
      <c r="K23" s="28">
        <f t="shared" si="42"/>
        <v>921.7</v>
      </c>
      <c r="L23" s="118">
        <f t="shared" si="42"/>
        <v>3821.2</v>
      </c>
      <c r="M23" s="26">
        <f t="shared" si="42"/>
        <v>979.30000000000007</v>
      </c>
      <c r="N23" s="56">
        <f t="shared" si="42"/>
        <v>1007.5</v>
      </c>
      <c r="O23" s="56">
        <f t="shared" si="42"/>
        <v>1027.6999999999998</v>
      </c>
      <c r="P23" s="56">
        <f t="shared" si="42"/>
        <v>1001.5999999999999</v>
      </c>
      <c r="Q23" s="118">
        <f t="shared" si="33"/>
        <v>4016.1</v>
      </c>
      <c r="R23" s="26">
        <f>SUM(R20:R22)</f>
        <v>1045</v>
      </c>
      <c r="S23" s="56">
        <f>SUM(S20:S22)</f>
        <v>1119.9000000000001</v>
      </c>
      <c r="T23" s="56">
        <f>SUM(T20:T22)</f>
        <v>1107.8</v>
      </c>
      <c r="U23" s="56">
        <f>SUM(U20:U22)</f>
        <v>1064.2</v>
      </c>
      <c r="V23" s="118">
        <f t="shared" si="34"/>
        <v>4336.8999999999996</v>
      </c>
      <c r="W23" s="26">
        <f>SUM(W20:W22)</f>
        <v>1170.5</v>
      </c>
      <c r="X23" s="56">
        <f>SUM(X20:X22)</f>
        <v>1228.0999999999999</v>
      </c>
      <c r="Y23" s="56">
        <f>SUM(Y20:Y22)</f>
        <v>1254.6000000000001</v>
      </c>
      <c r="Z23" s="56">
        <f>SUM(Z20:Z22)</f>
        <v>1159.8</v>
      </c>
      <c r="AA23" s="118">
        <f t="shared" si="35"/>
        <v>4813</v>
      </c>
      <c r="AB23" s="26">
        <f>SUM(AB20:AB22)</f>
        <v>1061.0999999999999</v>
      </c>
      <c r="AC23" s="56">
        <f>SUM(AC20:AC22)</f>
        <v>852</v>
      </c>
      <c r="AD23" s="56">
        <f>SUM(AD20:AD22)</f>
        <v>1221.2</v>
      </c>
      <c r="AE23" s="141">
        <f>SUM(AE20:AE22)</f>
        <v>1194.7</v>
      </c>
      <c r="AF23" s="118">
        <f t="shared" si="36"/>
        <v>4329</v>
      </c>
      <c r="AG23" s="26">
        <f>SUM(AG20:AG22)</f>
        <v>1165.4000000000001</v>
      </c>
      <c r="AH23" s="141">
        <f>SUM(AH20:AH22)</f>
        <v>1284.5999999999999</v>
      </c>
      <c r="AI23" s="141">
        <f>SUM(AI20:AI22)</f>
        <v>1334.8</v>
      </c>
      <c r="AJ23" s="141">
        <f>SUM(AJ20:AJ22)</f>
        <v>1348.9</v>
      </c>
      <c r="AK23" s="144">
        <f t="shared" si="37"/>
        <v>5133.7000000000007</v>
      </c>
      <c r="AL23" s="26">
        <f>SUM(AL20:AL22)</f>
        <v>1339.5</v>
      </c>
      <c r="AM23" s="141">
        <f>SUM(AM20:AM22)</f>
        <v>1349.8</v>
      </c>
      <c r="AN23" s="141">
        <f>SUM(AN20:AN22)</f>
        <v>1307.5</v>
      </c>
      <c r="AO23" s="141">
        <f>SUM(AO20:AO22)</f>
        <v>1207.1000000000001</v>
      </c>
      <c r="AP23" s="144">
        <f t="shared" si="38"/>
        <v>5203.9000000000005</v>
      </c>
      <c r="AQ23" s="26">
        <f>SUM(AQ20:AQ22)</f>
        <v>1226.7</v>
      </c>
      <c r="AR23" s="141">
        <f>SUM(AR20:AR22)</f>
        <v>1233.5999999999999</v>
      </c>
      <c r="AS23" s="141">
        <f>SUM(AS20:AS22)</f>
        <v>1185.9000000000001</v>
      </c>
      <c r="AT23" s="141">
        <f>SUM(AT20:AT22)</f>
        <v>1124.2</v>
      </c>
      <c r="AU23" s="144">
        <f t="shared" si="39"/>
        <v>4770.4000000000005</v>
      </c>
      <c r="AV23" s="26">
        <f>SUM(AV20:AV22)</f>
        <v>1106.2</v>
      </c>
      <c r="AW23" s="141">
        <f>SUM(AW20:AW22)</f>
        <v>1139.4000000000001</v>
      </c>
      <c r="AX23" s="141">
        <f>SUM(AX20:AX22)</f>
        <v>1111.4000000000001</v>
      </c>
      <c r="AY23" s="141">
        <f>SUM(AY20:AY22)</f>
        <v>1064.7</v>
      </c>
      <c r="AZ23" s="144">
        <f t="shared" si="40"/>
        <v>4421.7000000000007</v>
      </c>
      <c r="BA23" s="26">
        <f>SUM(BA20:BA22)</f>
        <v>1029.8000000000002</v>
      </c>
      <c r="BB23" s="141">
        <f>SUM(BB20:BB22)</f>
        <v>1064.6999999999998</v>
      </c>
      <c r="BC23" s="141">
        <f>SUM(BC20:BC22)</f>
        <v>1044.0999999999999</v>
      </c>
      <c r="BD23" s="141">
        <f>SUM(BD20:BD22)</f>
        <v>946.59999999999991</v>
      </c>
      <c r="BE23" s="144">
        <f t="shared" si="41"/>
        <v>4085.2</v>
      </c>
    </row>
    <row r="24" spans="1:57" s="7" customFormat="1" ht="9.9499999999999993" customHeight="1" x14ac:dyDescent="0.2">
      <c r="C24" s="36"/>
      <c r="D24" s="37"/>
      <c r="E24" s="38"/>
      <c r="F24" s="39"/>
      <c r="G24" s="115"/>
      <c r="H24" s="37"/>
      <c r="I24" s="37"/>
      <c r="J24" s="38"/>
      <c r="K24" s="39"/>
      <c r="L24" s="115"/>
      <c r="M24" s="36"/>
      <c r="N24" s="37"/>
      <c r="O24" s="38"/>
      <c r="P24" s="39"/>
      <c r="Q24" s="115"/>
      <c r="R24" s="36"/>
      <c r="S24" s="37"/>
      <c r="T24" s="38"/>
      <c r="U24" s="39"/>
      <c r="V24" s="115"/>
      <c r="W24" s="36"/>
      <c r="X24" s="37"/>
      <c r="Y24" s="38"/>
      <c r="Z24" s="39"/>
      <c r="AA24" s="115"/>
      <c r="AB24" s="36"/>
      <c r="AC24" s="37"/>
      <c r="AD24" s="38"/>
      <c r="AE24" s="39"/>
      <c r="AF24" s="115"/>
      <c r="AG24" s="36"/>
      <c r="AH24" s="37"/>
      <c r="AI24" s="38"/>
      <c r="AJ24" s="39"/>
      <c r="AK24" s="115"/>
      <c r="AL24" s="36"/>
      <c r="AM24" s="37"/>
      <c r="AN24" s="38"/>
      <c r="AO24" s="39"/>
      <c r="AP24" s="115"/>
      <c r="AQ24" s="36"/>
      <c r="AR24" s="37"/>
      <c r="AS24" s="38"/>
      <c r="AT24" s="39"/>
      <c r="AU24" s="115"/>
      <c r="AV24" s="36"/>
      <c r="AW24" s="37"/>
      <c r="AX24" s="38"/>
      <c r="AY24" s="39"/>
      <c r="AZ24" s="115"/>
      <c r="BA24" s="36"/>
      <c r="BB24" s="37"/>
      <c r="BC24" s="38"/>
      <c r="BD24" s="39"/>
      <c r="BE24" s="115"/>
    </row>
    <row r="25" spans="1:57" s="7" customFormat="1" ht="11.25" x14ac:dyDescent="0.2">
      <c r="A25" s="22" t="s">
        <v>143</v>
      </c>
      <c r="C25" s="14"/>
      <c r="F25" s="15"/>
      <c r="G25" s="115"/>
      <c r="K25" s="15"/>
      <c r="L25" s="115"/>
      <c r="M25" s="14"/>
      <c r="P25" s="15"/>
      <c r="Q25" s="115"/>
      <c r="R25" s="14"/>
      <c r="U25" s="15"/>
      <c r="V25" s="115"/>
      <c r="W25" s="14"/>
      <c r="Z25" s="15"/>
      <c r="AA25" s="115"/>
      <c r="AB25" s="14"/>
      <c r="AE25" s="15"/>
      <c r="AF25" s="115"/>
      <c r="AG25" s="14"/>
      <c r="AJ25" s="15"/>
      <c r="AK25" s="115"/>
      <c r="AL25" s="14"/>
      <c r="AO25" s="15"/>
      <c r="AP25" s="115"/>
      <c r="AQ25" s="14"/>
      <c r="AT25" s="15"/>
      <c r="AU25" s="115"/>
      <c r="AV25" s="14"/>
      <c r="AY25" s="15"/>
      <c r="AZ25" s="115"/>
      <c r="BA25" s="14"/>
      <c r="BD25" s="15"/>
      <c r="BE25" s="115"/>
    </row>
    <row r="26" spans="1:57" s="7" customFormat="1" ht="11.25" x14ac:dyDescent="0.2">
      <c r="A26" s="7" t="s">
        <v>141</v>
      </c>
      <c r="C26" s="32">
        <v>6.8000000000000005E-2</v>
      </c>
      <c r="D26" s="33">
        <v>1E-3</v>
      </c>
      <c r="E26" s="33">
        <v>-3.2000000000000001E-2</v>
      </c>
      <c r="F26" s="34">
        <v>-2.9000000000000001E-2</v>
      </c>
      <c r="G26" s="120">
        <v>0</v>
      </c>
      <c r="H26" s="33">
        <v>-6.8000000000000005E-2</v>
      </c>
      <c r="I26" s="33">
        <v>-0.05</v>
      </c>
      <c r="J26" s="33">
        <v>-6.9000000000000006E-2</v>
      </c>
      <c r="K26" s="34">
        <v>-4.8000000000000001E-2</v>
      </c>
      <c r="L26" s="120">
        <v>-5.8999999999999997E-2</v>
      </c>
      <c r="M26" s="32">
        <v>3.5000000000000003E-2</v>
      </c>
      <c r="N26" s="33">
        <v>4.4999999999999998E-2</v>
      </c>
      <c r="O26" s="33">
        <v>9.4E-2</v>
      </c>
      <c r="P26" s="34">
        <v>0.153</v>
      </c>
      <c r="Q26" s="120">
        <v>8.1000000000000003E-2</v>
      </c>
      <c r="R26" s="46">
        <v>9.2999999999999999E-2</v>
      </c>
      <c r="S26" s="139">
        <v>0.16500000000000001</v>
      </c>
      <c r="T26" s="139">
        <v>0.14000000000000001</v>
      </c>
      <c r="U26" s="47">
        <v>7.5999999999999998E-2</v>
      </c>
      <c r="V26" s="119">
        <v>0.11899999999999999</v>
      </c>
      <c r="W26" s="46">
        <v>0.04</v>
      </c>
      <c r="X26" s="139">
        <v>-8.2000000000000003E-2</v>
      </c>
      <c r="Y26" s="139">
        <v>-8.5999999999999993E-2</v>
      </c>
      <c r="Z26" s="47">
        <v>-0.10199999999999999</v>
      </c>
      <c r="AA26" s="119">
        <v>-5.8999999999999997E-2</v>
      </c>
      <c r="AB26" s="46">
        <v>-0.154</v>
      </c>
      <c r="AC26" s="139">
        <v>-0.27800000000000002</v>
      </c>
      <c r="AD26" s="139">
        <v>-1.2999999999999999E-2</v>
      </c>
      <c r="AE26" s="47">
        <v>5.2999999999999999E-2</v>
      </c>
      <c r="AF26" s="119">
        <v>-0.1</v>
      </c>
      <c r="AG26" s="46">
        <v>0.11899999999999999</v>
      </c>
      <c r="AH26" s="151">
        <v>0.499</v>
      </c>
      <c r="AI26" s="151">
        <v>0.11600000000000001</v>
      </c>
      <c r="AJ26" s="34">
        <v>0.15</v>
      </c>
      <c r="AK26" s="120">
        <v>0.20300000000000001</v>
      </c>
      <c r="AL26" s="32">
        <v>0.16500000000000001</v>
      </c>
      <c r="AM26" s="151">
        <v>-2E-3</v>
      </c>
      <c r="AN26" s="151">
        <v>-0.12</v>
      </c>
      <c r="AO26" s="34">
        <v>-0.19</v>
      </c>
      <c r="AP26" s="120">
        <v>-4.7E-2</v>
      </c>
      <c r="AQ26" s="32">
        <v>-0.17199999999999999</v>
      </c>
      <c r="AR26" s="151">
        <v>-0.17599999999999999</v>
      </c>
      <c r="AS26" s="151">
        <v>-0.17</v>
      </c>
      <c r="AT26" s="34">
        <v>-0.14099999999999999</v>
      </c>
      <c r="AU26" s="120">
        <v>-0.16600000000000001</v>
      </c>
      <c r="AV26" s="32">
        <v>-0.152</v>
      </c>
      <c r="AW26" s="151">
        <v>-0.13200000000000001</v>
      </c>
      <c r="AX26" s="151">
        <v>-7.8E-2</v>
      </c>
      <c r="AY26" s="34">
        <v>-6.3E-2</v>
      </c>
      <c r="AZ26" s="120">
        <v>-0.108</v>
      </c>
      <c r="BA26" s="32">
        <v>-0.122</v>
      </c>
      <c r="BB26" s="151">
        <v>-9.9000000000000005E-2</v>
      </c>
      <c r="BC26" s="151">
        <v>-9.0999999999999998E-2</v>
      </c>
      <c r="BD26" s="34">
        <v>-0.10299999999999999</v>
      </c>
      <c r="BE26" s="120">
        <v>-0.104</v>
      </c>
    </row>
    <row r="27" spans="1:57" s="7" customFormat="1" ht="11.25" x14ac:dyDescent="0.2">
      <c r="A27" s="7" t="s">
        <v>30</v>
      </c>
      <c r="C27" s="32">
        <v>5.7000000000000002E-2</v>
      </c>
      <c r="D27" s="33">
        <v>-8.9999999999999993E-3</v>
      </c>
      <c r="E27" s="33">
        <v>4.2000000000000003E-2</v>
      </c>
      <c r="F27" s="34">
        <v>6.8000000000000005E-2</v>
      </c>
      <c r="G27" s="120">
        <v>3.7999999999999999E-2</v>
      </c>
      <c r="H27" s="33">
        <v>8.5999999999999993E-2</v>
      </c>
      <c r="I27" s="33">
        <v>9.9000000000000005E-2</v>
      </c>
      <c r="J27" s="33">
        <v>7.0000000000000007E-2</v>
      </c>
      <c r="K27" s="34">
        <v>0.08</v>
      </c>
      <c r="L27" s="120">
        <v>8.4000000000000005E-2</v>
      </c>
      <c r="M27" s="32">
        <v>9.2999999999999999E-2</v>
      </c>
      <c r="N27" s="33">
        <v>4.7E-2</v>
      </c>
      <c r="O27" s="33">
        <v>8.5599999999999996E-2</v>
      </c>
      <c r="P27" s="34">
        <v>0.108</v>
      </c>
      <c r="Q27" s="120">
        <v>8.2699999999999996E-2</v>
      </c>
      <c r="R27" s="46">
        <v>0.11700000000000001</v>
      </c>
      <c r="S27" s="139">
        <v>0.11799999999999999</v>
      </c>
      <c r="T27" s="139">
        <v>3.3000000000000002E-2</v>
      </c>
      <c r="U27" s="47">
        <v>2E-3</v>
      </c>
      <c r="V27" s="119">
        <v>6.7000000000000004E-2</v>
      </c>
      <c r="W27" s="46">
        <v>-4.7E-2</v>
      </c>
      <c r="X27" s="139">
        <v>-3.2000000000000001E-2</v>
      </c>
      <c r="Y27" s="139">
        <v>5.3999999999999999E-2</v>
      </c>
      <c r="Z27" s="47">
        <v>3.9E-2</v>
      </c>
      <c r="AA27" s="119">
        <v>2E-3</v>
      </c>
      <c r="AB27" s="46">
        <v>-0.108</v>
      </c>
      <c r="AC27" s="139">
        <v>-0.47299999999999998</v>
      </c>
      <c r="AD27" s="139">
        <v>-9.0999999999999998E-2</v>
      </c>
      <c r="AE27" s="47">
        <v>1.2E-2</v>
      </c>
      <c r="AF27" s="119">
        <v>-0.16500000000000001</v>
      </c>
      <c r="AG27" s="46">
        <v>8.8999999999999996E-2</v>
      </c>
      <c r="AH27" s="151">
        <v>0.69099999999999995</v>
      </c>
      <c r="AI27" s="151">
        <v>-4.3999999999999997E-2</v>
      </c>
      <c r="AJ27" s="34">
        <v>-4.5999999999999999E-2</v>
      </c>
      <c r="AK27" s="120">
        <v>0.107</v>
      </c>
      <c r="AL27" s="32">
        <v>2.5000000000000001E-2</v>
      </c>
      <c r="AM27" s="151">
        <v>7.5999999999999998E-2</v>
      </c>
      <c r="AN27" s="151">
        <v>0.189</v>
      </c>
      <c r="AO27" s="34">
        <v>4.4999999999999998E-2</v>
      </c>
      <c r="AP27" s="120">
        <v>8.1000000000000003E-2</v>
      </c>
      <c r="AQ27" s="32">
        <v>8.5000000000000006E-2</v>
      </c>
      <c r="AR27" s="151">
        <v>0.121</v>
      </c>
      <c r="AS27" s="151">
        <v>3.1E-2</v>
      </c>
      <c r="AT27" s="34">
        <v>5.1999999999999998E-2</v>
      </c>
      <c r="AU27" s="120">
        <v>7.0999999999999994E-2</v>
      </c>
      <c r="AV27" s="32">
        <v>-1.4999999999999999E-2</v>
      </c>
      <c r="AW27" s="151">
        <v>-5.0000000000000001E-3</v>
      </c>
      <c r="AX27" s="151">
        <v>-6.0999999999999999E-2</v>
      </c>
      <c r="AY27" s="34">
        <v>-4.5999999999999999E-2</v>
      </c>
      <c r="AZ27" s="120">
        <v>-3.2000000000000001E-2</v>
      </c>
      <c r="BA27" s="32">
        <v>-0.05</v>
      </c>
      <c r="BB27" s="151">
        <v>-4.8000000000000001E-2</v>
      </c>
      <c r="BC27" s="151">
        <v>-0.02</v>
      </c>
      <c r="BD27" s="34">
        <v>-4.1000000000000002E-2</v>
      </c>
      <c r="BE27" s="120">
        <v>-4.1000000000000002E-2</v>
      </c>
    </row>
    <row r="28" spans="1:57" s="7" customFormat="1" ht="11.25" x14ac:dyDescent="0.2">
      <c r="A28" s="7" t="s">
        <v>142</v>
      </c>
      <c r="C28" s="32">
        <v>5.2999999999999999E-2</v>
      </c>
      <c r="D28" s="33">
        <v>-0.01</v>
      </c>
      <c r="E28" s="33">
        <v>-4.0000000000000001E-3</v>
      </c>
      <c r="F28" s="34">
        <v>-7.0000000000000007E-2</v>
      </c>
      <c r="G28" s="120">
        <v>-0.01</v>
      </c>
      <c r="H28" s="33">
        <v>-1.2E-2</v>
      </c>
      <c r="I28" s="33">
        <v>-4.2999999999999997E-2</v>
      </c>
      <c r="J28" s="33">
        <v>-3.5000000000000003E-2</v>
      </c>
      <c r="K28" s="137">
        <v>-0.03</v>
      </c>
      <c r="L28" s="120">
        <v>-3.1E-2</v>
      </c>
      <c r="M28" s="32">
        <v>3.0000000000000001E-3</v>
      </c>
      <c r="N28" s="33">
        <v>2.1000000000000001E-2</v>
      </c>
      <c r="O28" s="33">
        <v>1.2999999999999999E-2</v>
      </c>
      <c r="P28" s="34">
        <v>2E-3</v>
      </c>
      <c r="Q28" s="120">
        <v>0.01</v>
      </c>
      <c r="R28" s="46">
        <v>-2.7E-2</v>
      </c>
      <c r="S28" s="139">
        <v>1.7999999999999999E-2</v>
      </c>
      <c r="T28" s="139">
        <v>-2.1999999999999999E-2</v>
      </c>
      <c r="U28" s="47">
        <v>6.4000000000000003E-3</v>
      </c>
      <c r="V28" s="119">
        <v>-6.0000000000000001E-3</v>
      </c>
      <c r="W28" s="46">
        <v>-3.2000000000000001E-2</v>
      </c>
      <c r="X28" s="139">
        <v>-0.04</v>
      </c>
      <c r="Y28" s="139">
        <v>0.01</v>
      </c>
      <c r="Z28" s="47">
        <v>-2.4E-2</v>
      </c>
      <c r="AA28" s="119">
        <v>-2.1999999999999999E-2</v>
      </c>
      <c r="AB28" s="46">
        <v>-6.9000000000000006E-2</v>
      </c>
      <c r="AC28" s="139">
        <v>-0.25</v>
      </c>
      <c r="AD28" s="139">
        <v>-2.1999999999999999E-2</v>
      </c>
      <c r="AE28" s="47">
        <v>0.03</v>
      </c>
      <c r="AF28" s="119">
        <v>-8.1000000000000003E-2</v>
      </c>
      <c r="AG28" s="46">
        <v>0.11600000000000001</v>
      </c>
      <c r="AH28" s="151">
        <v>0.42699999999999999</v>
      </c>
      <c r="AI28" s="151">
        <v>0.11700000000000001</v>
      </c>
      <c r="AJ28" s="34">
        <v>0.16700000000000001</v>
      </c>
      <c r="AK28" s="120">
        <v>0.19700000000000001</v>
      </c>
      <c r="AL28" s="32">
        <v>0.16800000000000001</v>
      </c>
      <c r="AM28" s="151">
        <v>9.9000000000000005E-2</v>
      </c>
      <c r="AN28" s="151">
        <v>2E-3</v>
      </c>
      <c r="AO28" s="34">
        <v>-0.13</v>
      </c>
      <c r="AP28" s="120">
        <v>2.9000000000000001E-2</v>
      </c>
      <c r="AQ28" s="32">
        <v>-0.14699999999999999</v>
      </c>
      <c r="AR28" s="151">
        <v>-0.16500000000000001</v>
      </c>
      <c r="AS28" s="151">
        <v>-0.14000000000000001</v>
      </c>
      <c r="AT28" s="34">
        <v>-7.4999999999999997E-2</v>
      </c>
      <c r="AU28" s="120">
        <v>-0.13500000000000001</v>
      </c>
      <c r="AV28" s="32">
        <v>-8.5999999999999993E-2</v>
      </c>
      <c r="AW28" s="151">
        <v>-6.2E-2</v>
      </c>
      <c r="AX28" s="151">
        <v>-4.3999999999999997E-2</v>
      </c>
      <c r="AY28" s="34">
        <v>-4.4999999999999998E-2</v>
      </c>
      <c r="AZ28" s="120">
        <v>-5.8999999999999997E-2</v>
      </c>
      <c r="BA28" s="32">
        <v>-5.0000000000000001E-3</v>
      </c>
      <c r="BB28" s="151">
        <v>-2.1999999999999999E-2</v>
      </c>
      <c r="BC28" s="151">
        <v>5.0000000000000001E-3</v>
      </c>
      <c r="BD28" s="34">
        <v>-1.9E-2</v>
      </c>
      <c r="BE28" s="120">
        <v>-0.01</v>
      </c>
    </row>
    <row r="29" spans="1:57" s="7" customFormat="1" ht="9.9499999999999993" customHeight="1" thickBot="1" x14ac:dyDescent="0.25">
      <c r="C29" s="14"/>
      <c r="F29" s="15"/>
      <c r="G29" s="115"/>
      <c r="K29" s="15"/>
      <c r="L29" s="115"/>
      <c r="M29" s="14"/>
      <c r="P29" s="15"/>
      <c r="Q29" s="115"/>
      <c r="R29" s="14"/>
      <c r="U29" s="15"/>
      <c r="V29" s="115"/>
      <c r="W29" s="14"/>
      <c r="Z29" s="15"/>
      <c r="AA29" s="115"/>
      <c r="AB29" s="14"/>
      <c r="AE29" s="15"/>
      <c r="AF29" s="115"/>
      <c r="AG29" s="14"/>
      <c r="AJ29" s="15"/>
      <c r="AK29" s="115"/>
      <c r="AL29" s="14"/>
      <c r="AO29" s="15"/>
      <c r="AP29" s="115"/>
      <c r="AQ29" s="14"/>
      <c r="AT29" s="15"/>
      <c r="AU29" s="115"/>
      <c r="AV29" s="14"/>
      <c r="AY29" s="15"/>
      <c r="AZ29" s="115"/>
      <c r="BA29" s="14"/>
      <c r="BD29" s="15"/>
      <c r="BE29" s="115"/>
    </row>
    <row r="30" spans="1:57" s="7" customFormat="1" ht="12" thickBot="1" x14ac:dyDescent="0.25">
      <c r="A30" s="13" t="s">
        <v>144</v>
      </c>
      <c r="C30" s="14"/>
      <c r="F30" s="15"/>
      <c r="G30" s="115"/>
      <c r="K30" s="15"/>
      <c r="L30" s="115"/>
      <c r="M30" s="14"/>
      <c r="P30" s="15"/>
      <c r="Q30" s="115"/>
      <c r="R30" s="14"/>
      <c r="U30" s="15"/>
      <c r="V30" s="115"/>
      <c r="W30" s="14"/>
      <c r="Z30" s="15"/>
      <c r="AA30" s="115"/>
      <c r="AB30" s="14"/>
      <c r="AE30" s="15"/>
      <c r="AF30" s="115"/>
      <c r="AG30" s="14"/>
      <c r="AJ30" s="15"/>
      <c r="AK30" s="115"/>
      <c r="AL30" s="14"/>
      <c r="AO30" s="15"/>
      <c r="AP30" s="115"/>
      <c r="AQ30" s="14"/>
      <c r="AT30" s="15"/>
      <c r="AU30" s="115"/>
      <c r="AV30" s="14"/>
      <c r="AY30" s="15"/>
      <c r="AZ30" s="115"/>
      <c r="BA30" s="14"/>
      <c r="BD30" s="15"/>
      <c r="BE30" s="115"/>
    </row>
    <row r="31" spans="1:57" s="7" customFormat="1" ht="11.25" x14ac:dyDescent="0.2">
      <c r="A31" s="7" t="s">
        <v>141</v>
      </c>
      <c r="C31" s="40">
        <f>43+5.5</f>
        <v>48.5</v>
      </c>
      <c r="D31" s="41">
        <v>40.9</v>
      </c>
      <c r="E31" s="41">
        <v>50.9</v>
      </c>
      <c r="F31" s="42">
        <v>30</v>
      </c>
      <c r="G31" s="121">
        <f>SUM(C31:F31)</f>
        <v>170.3</v>
      </c>
      <c r="H31" s="41">
        <v>50.7</v>
      </c>
      <c r="I31" s="41">
        <v>59.8</v>
      </c>
      <c r="J31" s="41">
        <v>50.6</v>
      </c>
      <c r="K31" s="42">
        <f>53.4-15.9</f>
        <v>37.5</v>
      </c>
      <c r="L31" s="121">
        <f>SUM(H31:K31)</f>
        <v>198.6</v>
      </c>
      <c r="M31" s="40">
        <v>46.5</v>
      </c>
      <c r="N31" s="41">
        <v>44.7</v>
      </c>
      <c r="O31" s="41">
        <f>48.4+4.6</f>
        <v>53</v>
      </c>
      <c r="P31" s="42">
        <v>36.200000000000003</v>
      </c>
      <c r="Q31" s="121">
        <f>SUM(M31:P31)</f>
        <v>180.39999999999998</v>
      </c>
      <c r="R31" s="40">
        <v>45.1</v>
      </c>
      <c r="S31" s="41">
        <v>49.1</v>
      </c>
      <c r="T31" s="41">
        <v>59.5</v>
      </c>
      <c r="U31" s="42">
        <f>17.7+32.5</f>
        <v>50.2</v>
      </c>
      <c r="V31" s="121">
        <f>SUM(R31:U31)</f>
        <v>203.89999999999998</v>
      </c>
      <c r="W31" s="40">
        <v>51</v>
      </c>
      <c r="X31" s="41">
        <v>53.5</v>
      </c>
      <c r="Y31" s="41">
        <v>68.2</v>
      </c>
      <c r="Z31" s="42">
        <v>48.4</v>
      </c>
      <c r="AA31" s="121">
        <f>SUM(W31:Z31)</f>
        <v>221.1</v>
      </c>
      <c r="AB31" s="40">
        <v>36.700000000000003</v>
      </c>
      <c r="AC31" s="41">
        <v>20.799999999999997</v>
      </c>
      <c r="AD31" s="41">
        <v>76.5</v>
      </c>
      <c r="AE31" s="42">
        <v>69.400000000000006</v>
      </c>
      <c r="AF31" s="121">
        <f>SUM(AB31:AE31)</f>
        <v>203.4</v>
      </c>
      <c r="AG31" s="40">
        <v>63.8</v>
      </c>
      <c r="AH31" s="41">
        <v>72.2</v>
      </c>
      <c r="AI31" s="41">
        <v>81.099999999999994</v>
      </c>
      <c r="AJ31" s="42">
        <v>76</v>
      </c>
      <c r="AK31" s="121">
        <f>SUM(AG31:AJ31)</f>
        <v>293.10000000000002</v>
      </c>
      <c r="AL31" s="40">
        <v>76.2</v>
      </c>
      <c r="AM31" s="41">
        <v>69.099999999999994</v>
      </c>
      <c r="AN31" s="41">
        <v>43.9</v>
      </c>
      <c r="AO31" s="42">
        <v>30.4</v>
      </c>
      <c r="AP31" s="121">
        <f>SUM(AL31:AO31)</f>
        <v>219.60000000000002</v>
      </c>
      <c r="AQ31" s="40">
        <v>33.299999999999997</v>
      </c>
      <c r="AR31" s="41">
        <v>22.4</v>
      </c>
      <c r="AS31" s="41">
        <v>25.7</v>
      </c>
      <c r="AT31" s="42">
        <v>10.8</v>
      </c>
      <c r="AU31" s="121">
        <f>SUM(AQ31:AT31)</f>
        <v>92.199999999999989</v>
      </c>
      <c r="AV31" s="40">
        <v>17.100000000000001</v>
      </c>
      <c r="AW31" s="41">
        <f>-591.8+587.2+9.9-4.7</f>
        <v>0.60000000000009113</v>
      </c>
      <c r="AX31" s="41">
        <f>25.5+8-14</f>
        <v>19.5</v>
      </c>
      <c r="AY31" s="41">
        <f>1.6-4.3+10.2+0.7</f>
        <v>8.1999999999999993</v>
      </c>
      <c r="AZ31" s="121">
        <f>SUM(AV31:AY31)</f>
        <v>45.400000000000091</v>
      </c>
      <c r="BA31" s="40">
        <f>9.6+3.4</f>
        <v>13</v>
      </c>
      <c r="BB31" s="41">
        <f>27.2+2.1-16.7</f>
        <v>12.600000000000001</v>
      </c>
      <c r="BC31" s="41">
        <f>36.4+3.1-13.1</f>
        <v>26.4</v>
      </c>
      <c r="BD31" s="41">
        <f>25.5+17.4-5-21.6</f>
        <v>16.299999999999997</v>
      </c>
      <c r="BE31" s="121">
        <f>SUM(BA31:BD31)</f>
        <v>68.3</v>
      </c>
    </row>
    <row r="32" spans="1:57" s="7" customFormat="1" ht="11.25" x14ac:dyDescent="0.2">
      <c r="A32" s="7" t="s">
        <v>30</v>
      </c>
      <c r="C32" s="40">
        <v>37.299999999999997</v>
      </c>
      <c r="D32" s="41">
        <v>36.200000000000003</v>
      </c>
      <c r="E32" s="41">
        <v>36.200000000000003</v>
      </c>
      <c r="F32" s="42">
        <v>38.4</v>
      </c>
      <c r="G32" s="121">
        <f>SUM(C32:F32)</f>
        <v>148.1</v>
      </c>
      <c r="H32" s="41">
        <v>43.499999999999993</v>
      </c>
      <c r="I32" s="41">
        <f>56.2-8.5</f>
        <v>47.7</v>
      </c>
      <c r="J32" s="41">
        <v>40.799999999999997</v>
      </c>
      <c r="K32" s="42">
        <v>43.2</v>
      </c>
      <c r="L32" s="121">
        <f>SUM(H32:K32)</f>
        <v>175.2</v>
      </c>
      <c r="M32" s="40">
        <v>43</v>
      </c>
      <c r="N32" s="41">
        <v>43.9</v>
      </c>
      <c r="O32" s="41">
        <f>34.6+3.1</f>
        <v>37.700000000000003</v>
      </c>
      <c r="P32" s="42">
        <f>74.4-23.4</f>
        <v>51.000000000000007</v>
      </c>
      <c r="Q32" s="121">
        <f>SUM(M32:P32)</f>
        <v>175.60000000000002</v>
      </c>
      <c r="R32" s="40">
        <v>46.3</v>
      </c>
      <c r="S32" s="41">
        <v>52.2</v>
      </c>
      <c r="T32" s="41">
        <v>43.6</v>
      </c>
      <c r="U32" s="42">
        <v>47.4</v>
      </c>
      <c r="V32" s="121">
        <f>SUM(R32:U32)</f>
        <v>189.5</v>
      </c>
      <c r="W32" s="40">
        <v>35.6</v>
      </c>
      <c r="X32" s="41">
        <v>41.5</v>
      </c>
      <c r="Y32" s="41">
        <v>44.1</v>
      </c>
      <c r="Z32" s="42">
        <v>48.7</v>
      </c>
      <c r="AA32" s="121">
        <f>SUM(W32:Z32)</f>
        <v>169.89999999999998</v>
      </c>
      <c r="AB32" s="40">
        <v>27.7</v>
      </c>
      <c r="AC32" s="41">
        <v>5.6999999999999993</v>
      </c>
      <c r="AD32" s="41">
        <v>36.4</v>
      </c>
      <c r="AE32" s="42">
        <v>51.4</v>
      </c>
      <c r="AF32" s="121">
        <f>SUM(AB32:AE32)</f>
        <v>121.19999999999999</v>
      </c>
      <c r="AG32" s="40">
        <v>35.200000000000003</v>
      </c>
      <c r="AH32" s="41">
        <v>27.4</v>
      </c>
      <c r="AI32" s="41">
        <v>22.4</v>
      </c>
      <c r="AJ32" s="42">
        <v>30.9</v>
      </c>
      <c r="AK32" s="121">
        <f>SUM(AG32:AJ32)</f>
        <v>115.9</v>
      </c>
      <c r="AL32" s="40">
        <v>20.3</v>
      </c>
      <c r="AM32" s="41">
        <v>21.4</v>
      </c>
      <c r="AN32" s="41">
        <v>31.3</v>
      </c>
      <c r="AO32" s="42">
        <v>26.4</v>
      </c>
      <c r="AP32" s="121">
        <f>SUM(AL32:AO32)</f>
        <v>99.4</v>
      </c>
      <c r="AQ32" s="40">
        <v>28.7</v>
      </c>
      <c r="AR32" s="41">
        <v>33.1</v>
      </c>
      <c r="AS32" s="41">
        <v>31.2</v>
      </c>
      <c r="AT32" s="42">
        <v>32</v>
      </c>
      <c r="AU32" s="121">
        <f>SUM(AQ32:AT32)</f>
        <v>125</v>
      </c>
      <c r="AV32" s="40">
        <v>23.7</v>
      </c>
      <c r="AW32" s="41">
        <f>-9.5+43.6+1.3</f>
        <v>35.4</v>
      </c>
      <c r="AX32" s="41">
        <f>24.8+3.8</f>
        <v>28.6</v>
      </c>
      <c r="AY32" s="42">
        <f>25.4+5</f>
        <v>30.4</v>
      </c>
      <c r="AZ32" s="121">
        <f>SUM(AV32:AY32)</f>
        <v>118.1</v>
      </c>
      <c r="BA32" s="40">
        <f>28.4+3.4</f>
        <v>31.799999999999997</v>
      </c>
      <c r="BB32" s="41">
        <f>38.7+0.6-1.7</f>
        <v>37.6</v>
      </c>
      <c r="BC32" s="41">
        <f>112.9-86.8+0.9</f>
        <v>27.000000000000007</v>
      </c>
      <c r="BD32" s="42">
        <f>24.3-4.1+2.6</f>
        <v>22.800000000000004</v>
      </c>
      <c r="BE32" s="121">
        <f>SUM(BA32:BD32)</f>
        <v>119.20000000000002</v>
      </c>
    </row>
    <row r="33" spans="1:57" s="7" customFormat="1" ht="11.25" x14ac:dyDescent="0.2">
      <c r="A33" s="7" t="s">
        <v>142</v>
      </c>
      <c r="C33" s="40">
        <v>26.8</v>
      </c>
      <c r="D33" s="41">
        <f>36+1.5</f>
        <v>37.5</v>
      </c>
      <c r="E33" s="41">
        <v>40.299999999999997</v>
      </c>
      <c r="F33" s="42">
        <f>32.6+4</f>
        <v>36.6</v>
      </c>
      <c r="G33" s="121">
        <f t="shared" ref="G33" si="43">SUM(C33:F33)</f>
        <v>141.19999999999999</v>
      </c>
      <c r="H33" s="41">
        <v>32.700000000000003</v>
      </c>
      <c r="I33" s="41">
        <f>38.7-6.9</f>
        <v>31.800000000000004</v>
      </c>
      <c r="J33" s="41">
        <v>34.299999999999997</v>
      </c>
      <c r="K33" s="42">
        <v>31.8</v>
      </c>
      <c r="L33" s="121">
        <f t="shared" ref="L33" si="44">SUM(H33:K33)</f>
        <v>130.6</v>
      </c>
      <c r="M33" s="40">
        <v>26</v>
      </c>
      <c r="N33" s="41">
        <v>35.4</v>
      </c>
      <c r="O33" s="41">
        <v>33.1</v>
      </c>
      <c r="P33" s="42">
        <v>31.2</v>
      </c>
      <c r="Q33" s="121">
        <f t="shared" ref="Q33:Q34" si="45">SUM(M33:P33)</f>
        <v>125.7</v>
      </c>
      <c r="R33" s="40">
        <v>22</v>
      </c>
      <c r="S33" s="41">
        <v>32.5</v>
      </c>
      <c r="T33" s="41">
        <v>26.6</v>
      </c>
      <c r="U33" s="42">
        <f>18.8+9.9</f>
        <v>28.700000000000003</v>
      </c>
      <c r="V33" s="121">
        <f t="shared" ref="V33:V34" si="46">SUM(R33:U33)</f>
        <v>109.8</v>
      </c>
      <c r="W33" s="40">
        <v>19.3</v>
      </c>
      <c r="X33" s="41">
        <v>31.8</v>
      </c>
      <c r="Y33" s="41">
        <v>28.2</v>
      </c>
      <c r="Z33" s="42">
        <v>28</v>
      </c>
      <c r="AA33" s="121">
        <f t="shared" ref="AA33:AA34" si="47">SUM(W33:Z33)</f>
        <v>107.3</v>
      </c>
      <c r="AB33" s="40">
        <v>26.1</v>
      </c>
      <c r="AC33" s="41">
        <v>23.3</v>
      </c>
      <c r="AD33" s="41">
        <v>43.7</v>
      </c>
      <c r="AE33" s="42">
        <v>34.9</v>
      </c>
      <c r="AF33" s="121">
        <f t="shared" ref="AF33:AF34" si="48">SUM(AB33:AE33)</f>
        <v>128</v>
      </c>
      <c r="AG33" s="40">
        <v>28.3</v>
      </c>
      <c r="AH33" s="41">
        <v>44.7</v>
      </c>
      <c r="AI33" s="41">
        <v>41.1</v>
      </c>
      <c r="AJ33" s="42">
        <v>45.4</v>
      </c>
      <c r="AK33" s="121">
        <f t="shared" ref="AK33:AK34" si="49">SUM(AG33:AJ33)</f>
        <v>159.5</v>
      </c>
      <c r="AL33" s="40">
        <v>42.7</v>
      </c>
      <c r="AM33" s="41">
        <v>51.3</v>
      </c>
      <c r="AN33" s="41">
        <v>38.299999999999997</v>
      </c>
      <c r="AO33" s="42">
        <v>32.700000000000003</v>
      </c>
      <c r="AP33" s="121">
        <f t="shared" ref="AP33:AP34" si="50">SUM(AL33:AO33)</f>
        <v>165</v>
      </c>
      <c r="AQ33" s="40">
        <v>28.3</v>
      </c>
      <c r="AR33" s="41">
        <v>35.9</v>
      </c>
      <c r="AS33" s="41">
        <v>29.5</v>
      </c>
      <c r="AT33" s="42">
        <v>22.4</v>
      </c>
      <c r="AU33" s="121">
        <f t="shared" ref="AU33:AU34" si="51">SUM(AQ33:AT33)</f>
        <v>116.1</v>
      </c>
      <c r="AV33" s="40">
        <v>22.9</v>
      </c>
      <c r="AW33" s="41">
        <f>-9.4+44.5</f>
        <v>35.1</v>
      </c>
      <c r="AX33" s="41">
        <f>27.4+0.5</f>
        <v>27.9</v>
      </c>
      <c r="AY33" s="42">
        <f>16.6+0.3</f>
        <v>16.900000000000002</v>
      </c>
      <c r="AZ33" s="121">
        <f t="shared" ref="AZ33:AZ34" si="52">SUM(AV33:AY33)</f>
        <v>102.80000000000001</v>
      </c>
      <c r="BA33" s="40">
        <f>24.8-3.2+0.1</f>
        <v>21.700000000000003</v>
      </c>
      <c r="BB33" s="41">
        <f>24.4+0.9</f>
        <v>25.299999999999997</v>
      </c>
      <c r="BC33" s="41">
        <f>22+0.1-2.5</f>
        <v>19.600000000000001</v>
      </c>
      <c r="BD33" s="42">
        <f>7.4+1.6</f>
        <v>9</v>
      </c>
      <c r="BE33" s="121">
        <f t="shared" ref="BE33:BE34" si="53">SUM(BA33:BD33)</f>
        <v>75.599999999999994</v>
      </c>
    </row>
    <row r="34" spans="1:57" s="7" customFormat="1" ht="11.25" x14ac:dyDescent="0.2">
      <c r="A34" s="7" t="s">
        <v>71</v>
      </c>
      <c r="C34" s="19">
        <v>-0.4</v>
      </c>
      <c r="D34" s="20">
        <v>-0.1</v>
      </c>
      <c r="E34" s="20">
        <v>0.1</v>
      </c>
      <c r="F34" s="21">
        <f>-12.1+12.1</f>
        <v>0</v>
      </c>
      <c r="G34" s="117">
        <f>SUM(C34:F34)</f>
        <v>-0.4</v>
      </c>
      <c r="H34" s="55">
        <v>-0.1</v>
      </c>
      <c r="I34" s="55">
        <v>0.3</v>
      </c>
      <c r="J34" s="55">
        <v>-0.2</v>
      </c>
      <c r="K34" s="21">
        <v>0</v>
      </c>
      <c r="L34" s="117">
        <f>SUM(H34:K34)</f>
        <v>-2.7755575615628914E-17</v>
      </c>
      <c r="M34" s="130">
        <v>0.2</v>
      </c>
      <c r="N34" s="131">
        <v>0</v>
      </c>
      <c r="O34" s="131">
        <v>0</v>
      </c>
      <c r="P34" s="132">
        <f>-15.3+15.3</f>
        <v>0</v>
      </c>
      <c r="Q34" s="117">
        <f t="shared" si="45"/>
        <v>0.2</v>
      </c>
      <c r="R34" s="19">
        <v>-0.1</v>
      </c>
      <c r="S34" s="55">
        <v>-0.2</v>
      </c>
      <c r="T34" s="55">
        <v>-0.1</v>
      </c>
      <c r="U34" s="21">
        <v>-0.1</v>
      </c>
      <c r="V34" s="117">
        <f t="shared" si="46"/>
        <v>-0.5</v>
      </c>
      <c r="W34" s="19">
        <v>0</v>
      </c>
      <c r="X34" s="55">
        <v>-0.6</v>
      </c>
      <c r="Y34" s="55">
        <v>-0.3</v>
      </c>
      <c r="Z34" s="21">
        <v>0.6</v>
      </c>
      <c r="AA34" s="117">
        <f t="shared" si="47"/>
        <v>-0.29999999999999993</v>
      </c>
      <c r="AB34" s="19">
        <v>0</v>
      </c>
      <c r="AC34" s="55">
        <v>0.5</v>
      </c>
      <c r="AD34" s="55">
        <v>-0.7</v>
      </c>
      <c r="AE34" s="21">
        <v>0.3</v>
      </c>
      <c r="AF34" s="117">
        <f t="shared" si="48"/>
        <v>0.10000000000000003</v>
      </c>
      <c r="AG34" s="19">
        <v>0.4</v>
      </c>
      <c r="AH34" s="55">
        <v>-0.6</v>
      </c>
      <c r="AI34" s="55">
        <v>-0.4</v>
      </c>
      <c r="AJ34" s="21">
        <v>-0.1</v>
      </c>
      <c r="AK34" s="117">
        <f t="shared" si="49"/>
        <v>-0.7</v>
      </c>
      <c r="AL34" s="19">
        <v>-1.6</v>
      </c>
      <c r="AM34" s="55">
        <v>1.2</v>
      </c>
      <c r="AN34" s="55">
        <v>-0.3</v>
      </c>
      <c r="AO34" s="21">
        <v>1.7</v>
      </c>
      <c r="AP34" s="117">
        <f t="shared" si="50"/>
        <v>0.99999999999999978</v>
      </c>
      <c r="AQ34" s="19">
        <v>-1</v>
      </c>
      <c r="AR34" s="131">
        <v>0.7</v>
      </c>
      <c r="AS34" s="55">
        <v>-0.4</v>
      </c>
      <c r="AT34" s="132">
        <v>0.9</v>
      </c>
      <c r="AU34" s="143">
        <f t="shared" si="51"/>
        <v>0.19999999999999996</v>
      </c>
      <c r="AV34" s="19">
        <v>0</v>
      </c>
      <c r="AW34" s="55">
        <f>-3.6+3.7</f>
        <v>0.10000000000000009</v>
      </c>
      <c r="AX34" s="55">
        <v>0</v>
      </c>
      <c r="AY34" s="21">
        <v>0.1</v>
      </c>
      <c r="AZ34" s="117">
        <f t="shared" si="52"/>
        <v>0.20000000000000009</v>
      </c>
      <c r="BA34" s="19">
        <v>0.1</v>
      </c>
      <c r="BB34" s="55">
        <v>0.1</v>
      </c>
      <c r="BC34" s="55">
        <v>-0.2</v>
      </c>
      <c r="BD34" s="21">
        <f>-25.6+22+3.4</f>
        <v>-0.20000000000000151</v>
      </c>
      <c r="BE34" s="117">
        <f t="shared" si="53"/>
        <v>-0.20000000000000151</v>
      </c>
    </row>
    <row r="35" spans="1:57" s="7" customFormat="1" ht="11.25" x14ac:dyDescent="0.2">
      <c r="A35" s="22" t="s">
        <v>31</v>
      </c>
      <c r="C35" s="43">
        <f>SUM(C30:C34)</f>
        <v>112.19999999999999</v>
      </c>
      <c r="D35" s="44">
        <f>SUM(D30:D34)</f>
        <v>114.5</v>
      </c>
      <c r="E35" s="44">
        <f>SUM(E30:E34)</f>
        <v>127.49999999999999</v>
      </c>
      <c r="F35" s="45">
        <f>SUM(F30:F34)</f>
        <v>105</v>
      </c>
      <c r="G35" s="122">
        <f>SUM(G31:G34)</f>
        <v>459.2</v>
      </c>
      <c r="H35" s="44">
        <f>SUM(H30:H34)</f>
        <v>126.8</v>
      </c>
      <c r="I35" s="24">
        <f>SUM(I30:I34)</f>
        <v>139.60000000000002</v>
      </c>
      <c r="J35" s="24">
        <f>SUM(J30:J34)</f>
        <v>125.5</v>
      </c>
      <c r="K35" s="28">
        <f>SUM(K30:K34)</f>
        <v>112.5</v>
      </c>
      <c r="L35" s="122">
        <f>SUM(L31:L34)</f>
        <v>504.4</v>
      </c>
      <c r="M35" s="43">
        <f t="shared" ref="M35:AA35" si="54">SUM(M30:M34)</f>
        <v>115.7</v>
      </c>
      <c r="N35" s="44">
        <f t="shared" si="54"/>
        <v>124</v>
      </c>
      <c r="O35" s="44">
        <f t="shared" si="54"/>
        <v>123.80000000000001</v>
      </c>
      <c r="P35" s="45">
        <f t="shared" si="54"/>
        <v>118.40000000000002</v>
      </c>
      <c r="Q35" s="122">
        <f t="shared" si="54"/>
        <v>481.9</v>
      </c>
      <c r="R35" s="43">
        <f t="shared" si="54"/>
        <v>113.30000000000001</v>
      </c>
      <c r="S35" s="44">
        <f t="shared" si="54"/>
        <v>133.60000000000002</v>
      </c>
      <c r="T35" s="44">
        <f t="shared" si="54"/>
        <v>129.6</v>
      </c>
      <c r="U35" s="45">
        <f t="shared" si="54"/>
        <v>126.2</v>
      </c>
      <c r="V35" s="122">
        <f t="shared" si="54"/>
        <v>502.7</v>
      </c>
      <c r="W35" s="43">
        <f t="shared" si="54"/>
        <v>105.89999999999999</v>
      </c>
      <c r="X35" s="44">
        <f t="shared" si="54"/>
        <v>126.2</v>
      </c>
      <c r="Y35" s="44">
        <f t="shared" si="54"/>
        <v>140.19999999999999</v>
      </c>
      <c r="Z35" s="45">
        <f t="shared" si="54"/>
        <v>125.69999999999999</v>
      </c>
      <c r="AA35" s="122">
        <f t="shared" si="54"/>
        <v>498</v>
      </c>
      <c r="AB35" s="43">
        <f t="shared" ref="AB35:AK35" si="55">SUM(AB30:AB34)</f>
        <v>90.5</v>
      </c>
      <c r="AC35" s="44">
        <f t="shared" si="55"/>
        <v>50.3</v>
      </c>
      <c r="AD35" s="44">
        <f t="shared" si="55"/>
        <v>155.90000000000003</v>
      </c>
      <c r="AE35" s="44">
        <f t="shared" si="55"/>
        <v>156.00000000000003</v>
      </c>
      <c r="AF35" s="122">
        <f t="shared" si="55"/>
        <v>452.70000000000005</v>
      </c>
      <c r="AG35" s="43">
        <f t="shared" si="55"/>
        <v>127.7</v>
      </c>
      <c r="AH35" s="44">
        <f t="shared" si="55"/>
        <v>143.70000000000002</v>
      </c>
      <c r="AI35" s="44">
        <f t="shared" si="55"/>
        <v>144.19999999999999</v>
      </c>
      <c r="AJ35" s="44">
        <f t="shared" si="55"/>
        <v>152.20000000000002</v>
      </c>
      <c r="AK35" s="122">
        <f t="shared" si="55"/>
        <v>567.79999999999995</v>
      </c>
      <c r="AL35" s="43">
        <f t="shared" ref="AL35:AO35" si="56">SUM(AL30:AL34)</f>
        <v>137.6</v>
      </c>
      <c r="AM35" s="44">
        <f t="shared" si="56"/>
        <v>143</v>
      </c>
      <c r="AN35" s="44">
        <f t="shared" si="56"/>
        <v>113.2</v>
      </c>
      <c r="AO35" s="44">
        <f t="shared" si="56"/>
        <v>91.2</v>
      </c>
      <c r="AP35" s="122">
        <f>SUM(AP30:AP34)</f>
        <v>485</v>
      </c>
      <c r="AQ35" s="43">
        <f t="shared" ref="AQ35:AT35" si="57">SUM(AQ30:AQ34)</f>
        <v>89.3</v>
      </c>
      <c r="AR35" s="44">
        <f t="shared" si="57"/>
        <v>92.100000000000009</v>
      </c>
      <c r="AS35" s="44">
        <f t="shared" si="57"/>
        <v>86</v>
      </c>
      <c r="AT35" s="44">
        <f t="shared" si="57"/>
        <v>66.099999999999994</v>
      </c>
      <c r="AU35" s="122">
        <f>SUM(AU30:AU34)</f>
        <v>333.49999999999994</v>
      </c>
      <c r="AV35" s="43">
        <f t="shared" ref="AV35:AY35" si="58">SUM(AV30:AV34)</f>
        <v>63.699999999999996</v>
      </c>
      <c r="AW35" s="44">
        <f t="shared" si="58"/>
        <v>71.200000000000088</v>
      </c>
      <c r="AX35" s="44">
        <f t="shared" si="58"/>
        <v>76</v>
      </c>
      <c r="AY35" s="44">
        <f t="shared" si="58"/>
        <v>55.6</v>
      </c>
      <c r="AZ35" s="122">
        <f>SUM(AZ30:AZ34)</f>
        <v>266.50000000000006</v>
      </c>
      <c r="BA35" s="43">
        <f t="shared" ref="BA35:BD35" si="59">SUM(BA30:BA34)</f>
        <v>66.599999999999994</v>
      </c>
      <c r="BB35" s="44">
        <f t="shared" si="59"/>
        <v>75.599999999999994</v>
      </c>
      <c r="BC35" s="44">
        <f t="shared" si="59"/>
        <v>72.8</v>
      </c>
      <c r="BD35" s="44">
        <f t="shared" si="59"/>
        <v>47.9</v>
      </c>
      <c r="BE35" s="122">
        <f>SUM(BE30:BE34)</f>
        <v>262.90000000000003</v>
      </c>
    </row>
    <row r="36" spans="1:57" s="7" customFormat="1" ht="9.9499999999999993" customHeight="1" thickBot="1" x14ac:dyDescent="0.25">
      <c r="C36" s="14"/>
      <c r="F36" s="15"/>
      <c r="G36" s="115"/>
      <c r="K36" s="15"/>
      <c r="L36" s="115"/>
      <c r="M36" s="14"/>
      <c r="P36" s="15"/>
      <c r="Q36" s="115"/>
      <c r="R36" s="14"/>
      <c r="U36" s="15"/>
      <c r="V36" s="115"/>
      <c r="W36" s="14"/>
      <c r="Z36" s="15"/>
      <c r="AA36" s="115"/>
      <c r="AB36" s="14"/>
      <c r="AE36" s="15"/>
      <c r="AF36" s="115"/>
      <c r="AG36" s="14"/>
      <c r="AJ36" s="15"/>
      <c r="AK36" s="115"/>
      <c r="AL36" s="14"/>
      <c r="AO36" s="15"/>
      <c r="AP36" s="115"/>
      <c r="AQ36" s="14"/>
      <c r="AT36" s="15"/>
      <c r="AU36" s="115"/>
      <c r="AV36" s="14"/>
      <c r="AY36" s="15"/>
      <c r="AZ36" s="115"/>
      <c r="BA36" s="14"/>
      <c r="BD36" s="15"/>
      <c r="BE36" s="115"/>
    </row>
    <row r="37" spans="1:57" s="7" customFormat="1" ht="12" thickBot="1" x14ac:dyDescent="0.25">
      <c r="A37" s="13" t="s">
        <v>145</v>
      </c>
      <c r="C37" s="14"/>
      <c r="F37" s="15"/>
      <c r="G37" s="115"/>
      <c r="K37" s="15"/>
      <c r="L37" s="115"/>
      <c r="M37" s="14"/>
      <c r="P37" s="15"/>
      <c r="Q37" s="115"/>
      <c r="R37" s="14"/>
      <c r="U37" s="15"/>
      <c r="V37" s="115"/>
      <c r="W37" s="14"/>
      <c r="Z37" s="15"/>
      <c r="AA37" s="115"/>
      <c r="AB37" s="14"/>
      <c r="AE37" s="15"/>
      <c r="AF37" s="115"/>
      <c r="AG37" s="14"/>
      <c r="AJ37" s="15"/>
      <c r="AK37" s="115"/>
      <c r="AL37" s="14"/>
      <c r="AO37" s="15"/>
      <c r="AP37" s="115"/>
      <c r="AQ37" s="14"/>
      <c r="AT37" s="15"/>
      <c r="AU37" s="115"/>
      <c r="AV37" s="14"/>
      <c r="AY37" s="15"/>
      <c r="AZ37" s="115"/>
      <c r="BA37" s="14"/>
      <c r="BD37" s="15"/>
      <c r="BE37" s="115"/>
    </row>
    <row r="38" spans="1:57" s="7" customFormat="1" ht="11.25" x14ac:dyDescent="0.2">
      <c r="A38" s="7" t="s">
        <v>141</v>
      </c>
      <c r="C38" s="46">
        <f>+C31/C8</f>
        <v>0.10893980233602875</v>
      </c>
      <c r="D38" s="35">
        <f t="shared" ref="D38:AA40" si="60">+D31/D8</f>
        <v>9.5138404280065134E-2</v>
      </c>
      <c r="E38" s="35">
        <f t="shared" si="60"/>
        <v>0.11318656882366021</v>
      </c>
      <c r="F38" s="47">
        <f t="shared" si="60"/>
        <v>7.5150300601202411E-2</v>
      </c>
      <c r="G38" s="119">
        <f t="shared" si="60"/>
        <v>9.8781902552204176E-2</v>
      </c>
      <c r="H38" s="35">
        <f t="shared" si="60"/>
        <v>0.1288109756097561</v>
      </c>
      <c r="I38" s="35">
        <f t="shared" si="60"/>
        <v>0.15548621944877794</v>
      </c>
      <c r="J38" s="35">
        <f t="shared" si="60"/>
        <v>0.12994350282485878</v>
      </c>
      <c r="K38" s="47">
        <f t="shared" si="60"/>
        <v>0.10614208887630908</v>
      </c>
      <c r="L38" s="119">
        <f t="shared" si="60"/>
        <v>0.13058057728976266</v>
      </c>
      <c r="M38" s="46">
        <f t="shared" si="60"/>
        <v>0.11889542316543084</v>
      </c>
      <c r="N38" s="35">
        <f t="shared" si="60"/>
        <v>0.11493957315505272</v>
      </c>
      <c r="O38" s="35">
        <f t="shared" si="60"/>
        <v>0.12592064623425991</v>
      </c>
      <c r="P38" s="47">
        <f t="shared" si="60"/>
        <v>8.9603960396039614E-2</v>
      </c>
      <c r="Q38" s="119">
        <f t="shared" si="60"/>
        <v>0.1124057573680603</v>
      </c>
      <c r="R38" s="46">
        <f t="shared" si="60"/>
        <v>0.10544774374561609</v>
      </c>
      <c r="S38" s="35">
        <f t="shared" si="60"/>
        <v>0.10831678799911758</v>
      </c>
      <c r="T38" s="35">
        <f>+T31/T8</f>
        <v>0.12403585574317282</v>
      </c>
      <c r="U38" s="47">
        <f t="shared" si="60"/>
        <v>0.1155085135757018</v>
      </c>
      <c r="V38" s="119">
        <f t="shared" si="60"/>
        <v>0.11357433298056033</v>
      </c>
      <c r="W38" s="46">
        <f t="shared" si="60"/>
        <v>9.2007937939743822E-2</v>
      </c>
      <c r="X38" s="35">
        <f t="shared" si="60"/>
        <v>9.4123856439127379E-2</v>
      </c>
      <c r="Y38" s="35">
        <f t="shared" si="60"/>
        <v>0.11340206185567012</v>
      </c>
      <c r="Z38" s="47">
        <f t="shared" si="60"/>
        <v>9.1286307053941904E-2</v>
      </c>
      <c r="AA38" s="119">
        <f t="shared" si="60"/>
        <v>9.8079226367386765E-2</v>
      </c>
      <c r="AB38" s="46">
        <f t="shared" ref="AB38:AK40" si="61">+AB31/AB8</f>
        <v>7.4806359559722785E-2</v>
      </c>
      <c r="AC38" s="35">
        <f t="shared" si="61"/>
        <v>5.0657574281539199E-2</v>
      </c>
      <c r="AD38" s="35">
        <f t="shared" ref="AD38:AE38" si="62">+AD31/AD8</f>
        <v>0.12970498474059003</v>
      </c>
      <c r="AE38" s="47">
        <f t="shared" si="62"/>
        <v>0.12656611894297229</v>
      </c>
      <c r="AF38" s="119">
        <f t="shared" si="61"/>
        <v>9.9738639651258024E-2</v>
      </c>
      <c r="AG38" s="46">
        <f t="shared" si="61"/>
        <v>0.11907428144830161</v>
      </c>
      <c r="AH38" s="35">
        <f>+AH31/AH8</f>
        <v>0.11861343847543945</v>
      </c>
      <c r="AI38" s="35">
        <f t="shared" ref="AI38:AJ40" si="63">+AI31/AI8</f>
        <v>0.12212016262611051</v>
      </c>
      <c r="AJ38" s="35">
        <f t="shared" si="63"/>
        <v>0.1174107832535146</v>
      </c>
      <c r="AK38" s="119">
        <f t="shared" si="61"/>
        <v>0.11934525021377095</v>
      </c>
      <c r="AL38" s="46">
        <f t="shared" ref="AL38" si="64">+AL31/AL8</f>
        <v>0.11917422583672194</v>
      </c>
      <c r="AM38" s="35">
        <f>+AM31/AM8</f>
        <v>0.11281632653061223</v>
      </c>
      <c r="AN38" s="35">
        <f>+AN31/AN8</f>
        <v>7.5429553264604807E-2</v>
      </c>
      <c r="AO38" s="35">
        <f>+AO31/AO8</f>
        <v>5.8192955589586523E-2</v>
      </c>
      <c r="AP38" s="119">
        <f t="shared" ref="AP38" si="65">+AP31/AP8</f>
        <v>9.3196961337690454E-2</v>
      </c>
      <c r="AQ38" s="46">
        <f t="shared" ref="AQ38:AU40" si="66">+AQ31/AQ8</f>
        <v>6.3008514664143797E-2</v>
      </c>
      <c r="AR38" s="33">
        <v>4.3999999999999997E-2</v>
      </c>
      <c r="AS38" s="35">
        <v>5.2999999999999999E-2</v>
      </c>
      <c r="AT38" s="33">
        <v>2.4E-2</v>
      </c>
      <c r="AU38" s="120">
        <f t="shared" si="66"/>
        <v>4.6928284216419799E-2</v>
      </c>
      <c r="AV38" s="46">
        <v>3.7999999999999999E-2</v>
      </c>
      <c r="AW38" s="35">
        <v>1E-3</v>
      </c>
      <c r="AX38" s="35">
        <v>4.3999999999999997E-2</v>
      </c>
      <c r="AY38" s="35">
        <v>0.02</v>
      </c>
      <c r="AZ38" s="119">
        <f t="shared" ref="AZ38:AZ39" si="67">+AZ31/AZ8</f>
        <v>2.5917679968031106E-2</v>
      </c>
      <c r="BA38" s="46">
        <v>3.3000000000000002E-2</v>
      </c>
      <c r="BB38" s="35">
        <v>3.2000000000000001E-2</v>
      </c>
      <c r="BC38" s="35">
        <v>6.6000000000000003E-2</v>
      </c>
      <c r="BD38" s="35">
        <v>4.3999999999999997E-2</v>
      </c>
      <c r="BE38" s="119">
        <f t="shared" ref="BE38:BE39" si="68">+BE31/BE8</f>
        <v>4.3827002053388089E-2</v>
      </c>
    </row>
    <row r="39" spans="1:57" s="7" customFormat="1" ht="11.25" x14ac:dyDescent="0.2">
      <c r="A39" s="7" t="s">
        <v>30</v>
      </c>
      <c r="C39" s="46">
        <f t="shared" ref="C39:R40" si="69">+C32/C9</f>
        <v>0.18257464512971119</v>
      </c>
      <c r="D39" s="35">
        <f t="shared" si="69"/>
        <v>0.16845044206607726</v>
      </c>
      <c r="E39" s="35">
        <f t="shared" si="69"/>
        <v>0.17238095238095238</v>
      </c>
      <c r="F39" s="47">
        <f t="shared" si="69"/>
        <v>0.18147448015122875</v>
      </c>
      <c r="G39" s="119">
        <f t="shared" si="69"/>
        <v>0.17614176974310178</v>
      </c>
      <c r="H39" s="35">
        <f t="shared" si="69"/>
        <v>0.19790718835304821</v>
      </c>
      <c r="I39" s="35">
        <f t="shared" si="69"/>
        <v>0.20263381478334749</v>
      </c>
      <c r="J39" s="35">
        <f t="shared" si="69"/>
        <v>0.18570778334091942</v>
      </c>
      <c r="K39" s="47">
        <f t="shared" si="69"/>
        <v>0.19208537127612274</v>
      </c>
      <c r="L39" s="119">
        <f t="shared" si="69"/>
        <v>0.19470993554123139</v>
      </c>
      <c r="M39" s="46">
        <f t="shared" si="69"/>
        <v>0.18344709897610922</v>
      </c>
      <c r="N39" s="35">
        <f t="shared" si="69"/>
        <v>0.1841442953020134</v>
      </c>
      <c r="O39" s="35">
        <f t="shared" si="69"/>
        <v>0.16549604916593502</v>
      </c>
      <c r="P39" s="47">
        <f t="shared" si="69"/>
        <v>0.21711366538952748</v>
      </c>
      <c r="Q39" s="119">
        <f t="shared" si="69"/>
        <v>0.18770710849812935</v>
      </c>
      <c r="R39" s="46">
        <f t="shared" si="69"/>
        <v>0.17314884068810771</v>
      </c>
      <c r="S39" s="35">
        <f t="shared" si="60"/>
        <v>0.18919898513954334</v>
      </c>
      <c r="T39" s="35">
        <f t="shared" si="60"/>
        <v>0.17199211045364893</v>
      </c>
      <c r="U39" s="47">
        <f t="shared" si="60"/>
        <v>0.18265895953757225</v>
      </c>
      <c r="V39" s="119">
        <f t="shared" si="60"/>
        <v>0.17939979172583548</v>
      </c>
      <c r="W39" s="46">
        <f t="shared" si="60"/>
        <v>0.13541270445036138</v>
      </c>
      <c r="X39" s="35">
        <f t="shared" si="60"/>
        <v>0.15543071161048688</v>
      </c>
      <c r="Y39" s="35">
        <f t="shared" si="60"/>
        <v>0.16504491017964074</v>
      </c>
      <c r="Z39" s="47">
        <f t="shared" si="60"/>
        <v>0.18057100482017058</v>
      </c>
      <c r="AA39" s="119">
        <f t="shared" si="60"/>
        <v>0.15926134233220846</v>
      </c>
      <c r="AB39" s="46">
        <f t="shared" si="61"/>
        <v>0.11812366737739871</v>
      </c>
      <c r="AC39" s="35">
        <f t="shared" si="61"/>
        <v>4.0482954545454537E-2</v>
      </c>
      <c r="AD39" s="35">
        <f t="shared" ref="AD39" si="70">+AD32/AD9</f>
        <v>0.14985590778097982</v>
      </c>
      <c r="AE39" s="47">
        <f>+AE32/AE9</f>
        <v>0.18827838827838828</v>
      </c>
      <c r="AF39" s="119">
        <f t="shared" si="61"/>
        <v>0.1359964093357271</v>
      </c>
      <c r="AG39" s="46">
        <f t="shared" si="61"/>
        <v>0.13664596273291926</v>
      </c>
      <c r="AH39" s="35">
        <f t="shared" si="61"/>
        <v>0.1133636739760033</v>
      </c>
      <c r="AI39" s="35">
        <f t="shared" si="63"/>
        <v>9.5076400679117143E-2</v>
      </c>
      <c r="AJ39" s="35">
        <f t="shared" si="63"/>
        <v>0.11704545454545454</v>
      </c>
      <c r="AK39" s="119">
        <f t="shared" si="61"/>
        <v>0.11602763039343278</v>
      </c>
      <c r="AL39" s="46">
        <f t="shared" ref="AL39:AP39" si="71">+AL32/AL9</f>
        <v>7.6864823930329423E-2</v>
      </c>
      <c r="AM39" s="35">
        <f t="shared" si="71"/>
        <v>8.2276047673971536E-2</v>
      </c>
      <c r="AN39" s="35">
        <f t="shared" ref="AN39:AO39" si="72">+AN32/AN9</f>
        <v>0.10744936491589427</v>
      </c>
      <c r="AO39" s="35">
        <f t="shared" si="72"/>
        <v>8.7186261558784672E-2</v>
      </c>
      <c r="AP39" s="119">
        <f t="shared" si="71"/>
        <v>8.8884914602521695E-2</v>
      </c>
      <c r="AQ39" s="46">
        <f t="shared" si="66"/>
        <v>8.9491736825693793E-2</v>
      </c>
      <c r="AR39" s="33">
        <v>0.10299999999999999</v>
      </c>
      <c r="AS39" s="35">
        <v>9.8000000000000004E-2</v>
      </c>
      <c r="AT39" s="33">
        <v>0.1</v>
      </c>
      <c r="AU39" s="120">
        <f>+AU32/AU9</f>
        <v>9.7671511173620884E-2</v>
      </c>
      <c r="AV39" s="46">
        <v>7.4999999999999997E-2</v>
      </c>
      <c r="AW39" s="35">
        <v>0.111</v>
      </c>
      <c r="AX39" s="35">
        <v>9.5000000000000001E-2</v>
      </c>
      <c r="AY39" s="35">
        <v>0.1</v>
      </c>
      <c r="AZ39" s="119">
        <f t="shared" si="67"/>
        <v>9.5311112904527484E-2</v>
      </c>
      <c r="BA39" s="46">
        <v>0.106</v>
      </c>
      <c r="BB39" s="35">
        <v>0.124</v>
      </c>
      <c r="BC39" s="35">
        <v>9.7000000000000003E-2</v>
      </c>
      <c r="BD39" s="35">
        <v>9.5000000000000001E-2</v>
      </c>
      <c r="BE39" s="119">
        <f t="shared" si="68"/>
        <v>0.10620099786172488</v>
      </c>
    </row>
    <row r="40" spans="1:57" s="7" customFormat="1" ht="11.25" x14ac:dyDescent="0.2">
      <c r="A40" s="7" t="s">
        <v>142</v>
      </c>
      <c r="C40" s="46">
        <f t="shared" si="69"/>
        <v>8.4622671297758134E-2</v>
      </c>
      <c r="D40" s="35">
        <f t="shared" si="60"/>
        <v>0.10638297872340426</v>
      </c>
      <c r="E40" s="35">
        <f t="shared" si="60"/>
        <v>0.11534058385804236</v>
      </c>
      <c r="F40" s="47">
        <f t="shared" si="60"/>
        <v>0.10964649490713002</v>
      </c>
      <c r="G40" s="119">
        <f t="shared" si="60"/>
        <v>0.10440698018337768</v>
      </c>
      <c r="H40" s="35">
        <f t="shared" si="60"/>
        <v>0.10061538461538462</v>
      </c>
      <c r="I40" s="35">
        <f t="shared" si="60"/>
        <v>9.3832989082325194E-2</v>
      </c>
      <c r="J40" s="35">
        <f t="shared" si="60"/>
        <v>0.10094173042966449</v>
      </c>
      <c r="K40" s="47">
        <f t="shared" si="60"/>
        <v>9.7695852534562214E-2</v>
      </c>
      <c r="L40" s="119">
        <f t="shared" si="60"/>
        <v>9.8254589226602462E-2</v>
      </c>
      <c r="M40" s="46">
        <f t="shared" si="60"/>
        <v>7.765830346475508E-2</v>
      </c>
      <c r="N40" s="35">
        <f t="shared" si="60"/>
        <v>9.7790055248618779E-2</v>
      </c>
      <c r="O40" s="35">
        <f t="shared" si="60"/>
        <v>9.1689750692520777E-2</v>
      </c>
      <c r="P40" s="47">
        <f t="shared" si="60"/>
        <v>9.0277777777777776E-2</v>
      </c>
      <c r="Q40" s="119">
        <f t="shared" si="60"/>
        <v>8.9568191534843952E-2</v>
      </c>
      <c r="R40" s="46">
        <f t="shared" si="60"/>
        <v>6.5927479772250525E-2</v>
      </c>
      <c r="S40" s="35">
        <f t="shared" si="60"/>
        <v>8.7061344762925263E-2</v>
      </c>
      <c r="T40" s="35">
        <f t="shared" si="60"/>
        <v>7.4239464136198724E-2</v>
      </c>
      <c r="U40" s="47">
        <f t="shared" si="60"/>
        <v>8.1395348837209308E-2</v>
      </c>
      <c r="V40" s="119">
        <f t="shared" si="60"/>
        <v>7.7438465336060358E-2</v>
      </c>
      <c r="W40" s="46">
        <f t="shared" si="60"/>
        <v>5.7117490381769762E-2</v>
      </c>
      <c r="X40" s="35">
        <f t="shared" si="60"/>
        <v>8.4171519322392793E-2</v>
      </c>
      <c r="Y40" s="35">
        <f t="shared" si="60"/>
        <v>7.6072295656865394E-2</v>
      </c>
      <c r="Z40" s="47">
        <f t="shared" si="60"/>
        <v>8.1159420289855067E-2</v>
      </c>
      <c r="AA40" s="119">
        <f t="shared" si="60"/>
        <v>7.4961576079362852E-2</v>
      </c>
      <c r="AB40" s="46">
        <f t="shared" si="61"/>
        <v>8.1460674157303375E-2</v>
      </c>
      <c r="AC40" s="35">
        <f t="shared" si="61"/>
        <v>7.9332652366360237E-2</v>
      </c>
      <c r="AD40" s="35">
        <f>+AD33/AD10</f>
        <v>0.11656441717791413</v>
      </c>
      <c r="AE40" s="47">
        <f t="shared" ref="AE40" si="73">+AE33/AE10</f>
        <v>9.6756307180482393E-2</v>
      </c>
      <c r="AF40" s="119">
        <f t="shared" si="61"/>
        <v>9.4835889456916359E-2</v>
      </c>
      <c r="AG40" s="46">
        <f t="shared" si="61"/>
        <v>7.9160839160839158E-2</v>
      </c>
      <c r="AH40" s="35">
        <f t="shared" si="61"/>
        <v>0.10663167938931299</v>
      </c>
      <c r="AI40" s="35">
        <f t="shared" si="63"/>
        <v>9.7973778307508946E-2</v>
      </c>
      <c r="AJ40" s="35">
        <f t="shared" si="63"/>
        <v>0.10768500948766603</v>
      </c>
      <c r="AK40" s="119">
        <f>+AK33/AK10</f>
        <v>9.8590678699468401E-2</v>
      </c>
      <c r="AL40" s="46">
        <f t="shared" ref="AL40:AM40" si="74">+AL33/AL10</f>
        <v>0.10195797516714422</v>
      </c>
      <c r="AM40" s="35">
        <f t="shared" si="74"/>
        <v>0.11113518197573656</v>
      </c>
      <c r="AN40" s="35">
        <f t="shared" ref="AN40:AO40" si="75">+AN33/AN10</f>
        <v>9.0952267869864628E-2</v>
      </c>
      <c r="AO40" s="35">
        <f t="shared" si="75"/>
        <v>8.8235294117647065E-2</v>
      </c>
      <c r="AP40" s="119">
        <f>+AP33/AP10</f>
        <v>9.867830871359369E-2</v>
      </c>
      <c r="AQ40" s="46">
        <f t="shared" si="66"/>
        <v>7.7661909989023059E-2</v>
      </c>
      <c r="AR40" s="33">
        <v>9.0999999999999998E-2</v>
      </c>
      <c r="AS40" s="35">
        <v>7.9000000000000001E-2</v>
      </c>
      <c r="AT40" s="33">
        <v>6.4000000000000001E-2</v>
      </c>
      <c r="AU40" s="120">
        <f>+AU33/AU10</f>
        <v>7.8403565640194475E-2</v>
      </c>
      <c r="AV40" s="46">
        <v>6.9000000000000006E-2</v>
      </c>
      <c r="AW40" s="35">
        <v>9.5000000000000001E-2</v>
      </c>
      <c r="AX40" s="35">
        <v>7.8E-2</v>
      </c>
      <c r="AY40" s="35">
        <v>5.0999999999999997E-2</v>
      </c>
      <c r="AZ40" s="119">
        <f>+AZ33/AZ10</f>
        <v>7.3808156232050559E-2</v>
      </c>
      <c r="BA40" s="46">
        <v>6.5000000000000002E-2</v>
      </c>
      <c r="BB40" s="35">
        <v>7.0000000000000007E-2</v>
      </c>
      <c r="BC40" s="35">
        <v>5.5E-2</v>
      </c>
      <c r="BD40" s="35">
        <v>2.8000000000000001E-2</v>
      </c>
      <c r="BE40" s="119">
        <f>+BE33/BE10</f>
        <v>5.5009823182711207E-2</v>
      </c>
    </row>
    <row r="41" spans="1:57" s="7" customFormat="1" ht="11.25" x14ac:dyDescent="0.2">
      <c r="A41" s="22" t="s">
        <v>41</v>
      </c>
      <c r="B41" s="22"/>
      <c r="C41" s="48">
        <f t="shared" ref="C41:AA41" si="76">+C35/C11</f>
        <v>0.11612502587456011</v>
      </c>
      <c r="D41" s="49">
        <f t="shared" si="76"/>
        <v>0.11480998696480497</v>
      </c>
      <c r="E41" s="49">
        <f t="shared" si="76"/>
        <v>0.12635021306114358</v>
      </c>
      <c r="F41" s="50">
        <f t="shared" si="76"/>
        <v>0.11115816218505188</v>
      </c>
      <c r="G41" s="123">
        <f t="shared" si="76"/>
        <v>0.1172265904217298</v>
      </c>
      <c r="H41" s="49">
        <f t="shared" si="76"/>
        <v>0.13512361466325662</v>
      </c>
      <c r="I41" s="49">
        <f t="shared" si="76"/>
        <v>0.14558348107206176</v>
      </c>
      <c r="J41" s="49">
        <f t="shared" si="76"/>
        <v>0.13225840446833176</v>
      </c>
      <c r="K41" s="50">
        <f t="shared" si="76"/>
        <v>0.12448821511563571</v>
      </c>
      <c r="L41" s="123">
        <f t="shared" si="76"/>
        <v>0.13451025360676286</v>
      </c>
      <c r="M41" s="48">
        <f t="shared" si="76"/>
        <v>0.12048318233885245</v>
      </c>
      <c r="N41" s="49">
        <f t="shared" si="76"/>
        <v>0.12534115030829882</v>
      </c>
      <c r="O41" s="49">
        <f t="shared" si="76"/>
        <v>0.1226106764385461</v>
      </c>
      <c r="P41" s="50">
        <f t="shared" si="76"/>
        <v>0.12026409344845101</v>
      </c>
      <c r="Q41" s="123">
        <f t="shared" si="76"/>
        <v>0.12219179471575636</v>
      </c>
      <c r="R41" s="48">
        <f t="shared" si="76"/>
        <v>0.11012830482115087</v>
      </c>
      <c r="S41" s="49">
        <f t="shared" si="76"/>
        <v>0.12117913832199549</v>
      </c>
      <c r="T41" s="49">
        <f t="shared" si="76"/>
        <v>0.11873568483737974</v>
      </c>
      <c r="U41" s="50">
        <f t="shared" si="76"/>
        <v>0.12056940861755995</v>
      </c>
      <c r="V41" s="123">
        <f t="shared" si="76"/>
        <v>0.11774212437053519</v>
      </c>
      <c r="W41" s="48">
        <f t="shared" si="76"/>
        <v>9.1680373993593633E-2</v>
      </c>
      <c r="X41" s="49">
        <f t="shared" si="76"/>
        <v>0.10402242004615891</v>
      </c>
      <c r="Y41" s="49">
        <f t="shared" si="76"/>
        <v>0.11312837892358589</v>
      </c>
      <c r="Z41" s="50">
        <f t="shared" si="76"/>
        <v>0.10979124814394269</v>
      </c>
      <c r="AA41" s="123">
        <f t="shared" si="76"/>
        <v>0.10478695423461336</v>
      </c>
      <c r="AB41" s="48">
        <f t="shared" ref="AB41:AK41" si="77">+AB35/AB11</f>
        <v>8.6561453849832617E-2</v>
      </c>
      <c r="AC41" s="49">
        <f t="shared" si="77"/>
        <v>5.9519583481244809E-2</v>
      </c>
      <c r="AD41" s="49">
        <f t="shared" ref="AD41:AE41" si="78">+AD35/AD11</f>
        <v>0.12909903941702555</v>
      </c>
      <c r="AE41" s="49">
        <f t="shared" si="78"/>
        <v>0.13197634577802597</v>
      </c>
      <c r="AF41" s="123">
        <f t="shared" si="77"/>
        <v>0.10576534438569891</v>
      </c>
      <c r="AG41" s="48">
        <f t="shared" si="77"/>
        <v>0.1109566426275089</v>
      </c>
      <c r="AH41" s="49">
        <f t="shared" si="77"/>
        <v>0.11318525519848771</v>
      </c>
      <c r="AI41" s="49">
        <f t="shared" si="77"/>
        <v>0.10930867192237718</v>
      </c>
      <c r="AJ41" s="49">
        <f t="shared" ref="AJ41" si="79">+AJ35/AJ11</f>
        <v>0.11418711081101358</v>
      </c>
      <c r="AK41" s="123">
        <f t="shared" si="77"/>
        <v>0.11193470803926979</v>
      </c>
      <c r="AL41" s="48">
        <f t="shared" ref="AL41:AP41" si="80">+AL35/AL11</f>
        <v>0.10406110564924752</v>
      </c>
      <c r="AM41" s="49">
        <f t="shared" si="80"/>
        <v>0.1071803327836906</v>
      </c>
      <c r="AN41" s="49">
        <f t="shared" si="80"/>
        <v>8.745364647713226E-2</v>
      </c>
      <c r="AO41" s="49">
        <f t="shared" ref="AO41" si="81">+AO35/AO11</f>
        <v>7.6266934269944797E-2</v>
      </c>
      <c r="AP41" s="123">
        <f t="shared" si="80"/>
        <v>9.423514096411291E-2</v>
      </c>
      <c r="AQ41" s="48">
        <f t="shared" ref="AQ41:AZ41" si="82">+AQ35/AQ11</f>
        <v>7.3582729070533953E-2</v>
      </c>
      <c r="AR41" s="147">
        <f t="shared" si="82"/>
        <v>7.5417622011136609E-2</v>
      </c>
      <c r="AS41" s="49">
        <v>7.2999999999999995E-2</v>
      </c>
      <c r="AT41" s="147">
        <v>5.8999999999999997E-2</v>
      </c>
      <c r="AU41" s="146">
        <f t="shared" si="82"/>
        <v>7.0577529469028413E-2</v>
      </c>
      <c r="AV41" s="48">
        <f t="shared" si="82"/>
        <v>5.8072750478621558E-2</v>
      </c>
      <c r="AW41" s="49">
        <f t="shared" si="82"/>
        <v>6.3087010455431594E-2</v>
      </c>
      <c r="AX41" s="49">
        <f t="shared" si="82"/>
        <v>6.8984296995552322E-2</v>
      </c>
      <c r="AY41" s="49">
        <f t="shared" si="82"/>
        <v>5.2631578947368418E-2</v>
      </c>
      <c r="AZ41" s="123">
        <f t="shared" si="82"/>
        <v>6.0794780545670231E-2</v>
      </c>
      <c r="BA41" s="48">
        <f t="shared" ref="BA41:BE41" si="83">+BA35/BA11</f>
        <v>6.5159964778397417E-2</v>
      </c>
      <c r="BB41" s="49">
        <f t="shared" si="83"/>
        <v>7.1455576559546305E-2</v>
      </c>
      <c r="BC41" s="49">
        <f t="shared" si="83"/>
        <v>7.0243149363180227E-2</v>
      </c>
      <c r="BD41" s="49">
        <f t="shared" si="83"/>
        <v>5.1033454080545493E-2</v>
      </c>
      <c r="BE41" s="123">
        <f t="shared" si="83"/>
        <v>6.4831940026139928E-2</v>
      </c>
    </row>
    <row r="42" spans="1:57" s="7" customFormat="1" ht="9.9499999999999993" customHeight="1" thickBot="1" x14ac:dyDescent="0.25">
      <c r="C42" s="14"/>
      <c r="F42" s="15"/>
      <c r="G42" s="115"/>
      <c r="K42" s="15"/>
      <c r="L42" s="115"/>
      <c r="M42" s="14"/>
      <c r="P42" s="15"/>
      <c r="Q42" s="115"/>
      <c r="R42" s="14"/>
      <c r="U42" s="15"/>
      <c r="V42" s="115"/>
      <c r="W42" s="14"/>
      <c r="Z42" s="15"/>
      <c r="AA42" s="115"/>
      <c r="AB42" s="14"/>
      <c r="AE42" s="15"/>
      <c r="AF42" s="115"/>
      <c r="AG42" s="14"/>
      <c r="AJ42" s="15"/>
      <c r="AK42" s="115"/>
      <c r="AL42" s="14"/>
      <c r="AO42" s="15"/>
      <c r="AP42" s="115"/>
      <c r="AQ42" s="14"/>
      <c r="AT42" s="15"/>
      <c r="AU42" s="115"/>
      <c r="AV42" s="14"/>
      <c r="AY42" s="15"/>
      <c r="AZ42" s="115"/>
      <c r="BA42" s="14"/>
      <c r="BD42" s="15"/>
      <c r="BE42" s="115"/>
    </row>
    <row r="43" spans="1:57" s="7" customFormat="1" ht="12" thickBot="1" x14ac:dyDescent="0.25">
      <c r="A43" s="13" t="s">
        <v>146</v>
      </c>
      <c r="C43" s="14"/>
      <c r="F43" s="15"/>
      <c r="G43" s="115"/>
      <c r="K43" s="15"/>
      <c r="L43" s="115"/>
      <c r="M43" s="14"/>
      <c r="P43" s="15"/>
      <c r="Q43" s="115"/>
      <c r="R43" s="14"/>
      <c r="U43" s="15"/>
      <c r="V43" s="115"/>
      <c r="W43" s="14"/>
      <c r="Z43" s="15"/>
      <c r="AA43" s="115"/>
      <c r="AB43" s="14"/>
      <c r="AE43" s="15"/>
      <c r="AF43" s="115"/>
      <c r="AG43" s="14"/>
      <c r="AJ43" s="15"/>
      <c r="AK43" s="115"/>
      <c r="AL43" s="14"/>
      <c r="AO43" s="15"/>
      <c r="AP43" s="115"/>
      <c r="AQ43" s="14"/>
      <c r="AT43" s="15"/>
      <c r="AU43" s="115"/>
      <c r="AV43" s="14"/>
      <c r="AY43" s="15"/>
      <c r="AZ43" s="115"/>
      <c r="BA43" s="14"/>
      <c r="BD43" s="15"/>
      <c r="BE43" s="115"/>
    </row>
    <row r="44" spans="1:57" s="7" customFormat="1" ht="11.25" x14ac:dyDescent="0.2">
      <c r="A44" s="7" t="s">
        <v>141</v>
      </c>
      <c r="C44" s="40"/>
      <c r="D44" s="41"/>
      <c r="E44" s="41"/>
      <c r="F44" s="42"/>
      <c r="G44" s="121">
        <f>G31+46.6</f>
        <v>216.9</v>
      </c>
      <c r="H44" s="41"/>
      <c r="I44" s="41"/>
      <c r="J44" s="41"/>
      <c r="K44" s="42"/>
      <c r="L44" s="121">
        <f>L31+45.7</f>
        <v>244.3</v>
      </c>
      <c r="M44" s="40"/>
      <c r="N44" s="41"/>
      <c r="O44" s="41"/>
      <c r="P44" s="42"/>
      <c r="Q44" s="121">
        <f>Q31+46.9</f>
        <v>227.29999999999998</v>
      </c>
      <c r="R44" s="40">
        <f>R31+11.6</f>
        <v>56.7</v>
      </c>
      <c r="S44" s="41">
        <f>S31+11.9</f>
        <v>61</v>
      </c>
      <c r="T44" s="41">
        <f>T31+11.7</f>
        <v>71.2</v>
      </c>
      <c r="U44" s="42">
        <f>U31+12.1</f>
        <v>62.300000000000004</v>
      </c>
      <c r="V44" s="121">
        <f>SUM(R44:U44)</f>
        <v>251.20000000000002</v>
      </c>
      <c r="W44" s="40">
        <f>W31+24.8</f>
        <v>75.8</v>
      </c>
      <c r="X44" s="41">
        <f>X31+28.2</f>
        <v>81.7</v>
      </c>
      <c r="Y44" s="41">
        <f>Y31+27.5</f>
        <v>95.7</v>
      </c>
      <c r="Z44" s="42">
        <f>Z31+26.8</f>
        <v>75.2</v>
      </c>
      <c r="AA44" s="121">
        <f>SUM(W44:Z44)</f>
        <v>328.4</v>
      </c>
      <c r="AB44" s="40">
        <f>AB31+26.8</f>
        <v>63.5</v>
      </c>
      <c r="AC44" s="41">
        <f>AC31+26.3</f>
        <v>47.099999999999994</v>
      </c>
      <c r="AD44" s="41">
        <f>AD31+26.6</f>
        <v>103.1</v>
      </c>
      <c r="AE44" s="42">
        <f>AE31+27</f>
        <v>96.4</v>
      </c>
      <c r="AF44" s="121">
        <f>SUM(AB44:AE44)</f>
        <v>310.10000000000002</v>
      </c>
      <c r="AG44" s="40">
        <f>AG31+26.1</f>
        <v>89.9</v>
      </c>
      <c r="AH44" s="41">
        <f>AH31+26.4</f>
        <v>98.6</v>
      </c>
      <c r="AI44" s="41">
        <f>AI31+27.3</f>
        <v>108.39999999999999</v>
      </c>
      <c r="AJ44" s="42">
        <v>103</v>
      </c>
      <c r="AK44" s="121">
        <f>SUM(AG44:AJ44)</f>
        <v>399.9</v>
      </c>
      <c r="AL44" s="40">
        <f>+AL31+26.2</f>
        <v>102.4</v>
      </c>
      <c r="AM44" s="41">
        <f>+AM31+26.2</f>
        <v>95.3</v>
      </c>
      <c r="AN44" s="41">
        <f>+AN31+25.7</f>
        <v>69.599999999999994</v>
      </c>
      <c r="AO44" s="41">
        <f>+AO31+26</f>
        <v>56.4</v>
      </c>
      <c r="AP44" s="121">
        <f>SUM(AL44:AO44)</f>
        <v>323.69999999999993</v>
      </c>
      <c r="AQ44" s="40">
        <f>AQ31+25.6</f>
        <v>58.9</v>
      </c>
      <c r="AR44" s="41">
        <f>AR31+25.5</f>
        <v>47.9</v>
      </c>
      <c r="AS44" s="41">
        <f>AS31+26.2</f>
        <v>51.9</v>
      </c>
      <c r="AT44" s="41">
        <f>AT31+26.6</f>
        <v>37.400000000000006</v>
      </c>
      <c r="AU44" s="121">
        <f>SUM(AQ44:AT44)</f>
        <v>196.1</v>
      </c>
      <c r="AV44" s="40">
        <f>AV31+14.6</f>
        <v>31.700000000000003</v>
      </c>
      <c r="AW44" s="41">
        <f>AW31+14.3</f>
        <v>14.900000000000091</v>
      </c>
      <c r="AX44" s="41">
        <f>AX31+14.8</f>
        <v>34.299999999999997</v>
      </c>
      <c r="AY44" s="41">
        <f>AY31+15.3</f>
        <v>23.5</v>
      </c>
      <c r="AZ44" s="121">
        <f>SUM(AV44:AY44)</f>
        <v>104.40000000000009</v>
      </c>
      <c r="BA44" s="40">
        <f>BA31+13</f>
        <v>26</v>
      </c>
      <c r="BB44" s="41">
        <f>BB31+13.3</f>
        <v>25.900000000000002</v>
      </c>
      <c r="BC44" s="41">
        <f>BC31+13.2</f>
        <v>39.599999999999994</v>
      </c>
      <c r="BD44" s="41">
        <f>BD31+15.6</f>
        <v>31.9</v>
      </c>
      <c r="BE44" s="121">
        <f>SUM(BA44:BD44)</f>
        <v>123.4</v>
      </c>
    </row>
    <row r="45" spans="1:57" s="7" customFormat="1" ht="11.25" x14ac:dyDescent="0.2">
      <c r="A45" s="7" t="s">
        <v>30</v>
      </c>
      <c r="C45" s="40"/>
      <c r="D45" s="41"/>
      <c r="E45" s="41"/>
      <c r="F45" s="42"/>
      <c r="G45" s="121">
        <f>G32+28.2</f>
        <v>176.29999999999998</v>
      </c>
      <c r="H45" s="41"/>
      <c r="I45" s="41"/>
      <c r="J45" s="41"/>
      <c r="K45" s="42"/>
      <c r="L45" s="121">
        <f>L32+29.7</f>
        <v>204.89999999999998</v>
      </c>
      <c r="M45" s="40"/>
      <c r="N45" s="41"/>
      <c r="O45" s="41"/>
      <c r="P45" s="42"/>
      <c r="Q45" s="121">
        <f>Q32+31.2</f>
        <v>206.8</v>
      </c>
      <c r="R45" s="40">
        <f>R32+9.1</f>
        <v>55.4</v>
      </c>
      <c r="S45" s="41">
        <f>S32+9.8</f>
        <v>62</v>
      </c>
      <c r="T45" s="41">
        <f>T32+9.8</f>
        <v>53.400000000000006</v>
      </c>
      <c r="U45" s="42">
        <f>U32+10.3</f>
        <v>57.7</v>
      </c>
      <c r="V45" s="121">
        <f t="shared" ref="V45" si="84">SUM(R45:U45)</f>
        <v>228.5</v>
      </c>
      <c r="W45" s="40">
        <f>W32+10.2</f>
        <v>45.8</v>
      </c>
      <c r="X45" s="41">
        <f>X32+10.4</f>
        <v>51.9</v>
      </c>
      <c r="Y45" s="41">
        <f>Y32+10.4</f>
        <v>54.5</v>
      </c>
      <c r="Z45" s="42">
        <f>Z32+10.8</f>
        <v>59.5</v>
      </c>
      <c r="AA45" s="121">
        <f>SUM(W45:Z45)</f>
        <v>211.7</v>
      </c>
      <c r="AB45" s="40">
        <f>AB32+11.2</f>
        <v>38.9</v>
      </c>
      <c r="AC45" s="41">
        <f>AC32+10.6</f>
        <v>16.299999999999997</v>
      </c>
      <c r="AD45" s="41">
        <f>AD32+10.7</f>
        <v>47.099999999999994</v>
      </c>
      <c r="AE45" s="42">
        <f>AE32+11.8</f>
        <v>63.2</v>
      </c>
      <c r="AF45" s="121">
        <f>SUM(AB45:AE45)</f>
        <v>165.5</v>
      </c>
      <c r="AG45" s="40">
        <f>AG32+11.1</f>
        <v>46.300000000000004</v>
      </c>
      <c r="AH45" s="41">
        <f>AH32+12.2</f>
        <v>39.599999999999994</v>
      </c>
      <c r="AI45" s="41">
        <f>AI32+11.7</f>
        <v>34.099999999999994</v>
      </c>
      <c r="AJ45" s="42">
        <v>40.700000000000003</v>
      </c>
      <c r="AK45" s="121">
        <f>SUM(AG45:AJ45)</f>
        <v>160.69999999999999</v>
      </c>
      <c r="AL45" s="40">
        <f>+AL32+10.8</f>
        <v>31.1</v>
      </c>
      <c r="AM45" s="41">
        <f>+AM32+9.9</f>
        <v>31.299999999999997</v>
      </c>
      <c r="AN45" s="41">
        <f>+AN32+9.7</f>
        <v>41</v>
      </c>
      <c r="AO45" s="41">
        <f>+AO32+10.1</f>
        <v>36.5</v>
      </c>
      <c r="AP45" s="121">
        <f>SUM(AL45:AO45)</f>
        <v>139.9</v>
      </c>
      <c r="AQ45" s="40">
        <f>AQ32+10.7</f>
        <v>39.4</v>
      </c>
      <c r="AR45" s="41">
        <f>AR32+10.3</f>
        <v>43.400000000000006</v>
      </c>
      <c r="AS45" s="41">
        <f>AS32+10.7</f>
        <v>41.9</v>
      </c>
      <c r="AT45" s="41">
        <f>AT32+9.4</f>
        <v>41.4</v>
      </c>
      <c r="AU45" s="121">
        <f>SUM(AQ45:AT45)</f>
        <v>166.10000000000002</v>
      </c>
      <c r="AV45" s="40">
        <f>AV32+10.1</f>
        <v>33.799999999999997</v>
      </c>
      <c r="AW45" s="41">
        <f>AW32+10.3</f>
        <v>45.7</v>
      </c>
      <c r="AX45" s="41">
        <f>AX32+11</f>
        <v>39.6</v>
      </c>
      <c r="AY45" s="41">
        <f>AY32+11.6</f>
        <v>42</v>
      </c>
      <c r="AZ45" s="121">
        <f>SUM(AV45:AY45)</f>
        <v>161.1</v>
      </c>
      <c r="BA45" s="40">
        <f>BA32+10.4</f>
        <v>42.199999999999996</v>
      </c>
      <c r="BB45" s="41">
        <f>BB32+8.2</f>
        <v>45.8</v>
      </c>
      <c r="BC45" s="41">
        <f>BC32+7.9</f>
        <v>34.900000000000006</v>
      </c>
      <c r="BD45" s="41">
        <f>BD32+8.2</f>
        <v>31.000000000000004</v>
      </c>
      <c r="BE45" s="121">
        <f>SUM(BA45:BD45)</f>
        <v>153.9</v>
      </c>
    </row>
    <row r="46" spans="1:57" s="7" customFormat="1" ht="11.25" x14ac:dyDescent="0.2">
      <c r="A46" s="7" t="s">
        <v>142</v>
      </c>
      <c r="C46" s="40"/>
      <c r="D46" s="41"/>
      <c r="E46" s="41"/>
      <c r="F46" s="42"/>
      <c r="G46" s="121">
        <f>G33+23.9</f>
        <v>165.1</v>
      </c>
      <c r="H46" s="41"/>
      <c r="I46" s="41"/>
      <c r="J46" s="41"/>
      <c r="K46" s="42"/>
      <c r="L46" s="121">
        <f>L33+23.5</f>
        <v>154.1</v>
      </c>
      <c r="M46" s="40"/>
      <c r="N46" s="41"/>
      <c r="O46" s="41"/>
      <c r="P46" s="42"/>
      <c r="Q46" s="121">
        <f>Q33+25.3</f>
        <v>151</v>
      </c>
      <c r="R46" s="40">
        <f>R33+6.7</f>
        <v>28.7</v>
      </c>
      <c r="S46" s="41">
        <f>S33+6.6</f>
        <v>39.1</v>
      </c>
      <c r="T46" s="41">
        <f>T33+6.6</f>
        <v>33.200000000000003</v>
      </c>
      <c r="U46" s="42">
        <f>U33+7.1</f>
        <v>35.800000000000004</v>
      </c>
      <c r="V46" s="121">
        <f>SUM(R46:U46)</f>
        <v>136.80000000000001</v>
      </c>
      <c r="W46" s="40">
        <f>W33+6.6</f>
        <v>25.9</v>
      </c>
      <c r="X46" s="41">
        <f>X33+6.7</f>
        <v>38.5</v>
      </c>
      <c r="Y46" s="41">
        <f>Y33+6.4</f>
        <v>34.6</v>
      </c>
      <c r="Z46" s="42">
        <f>Z33+6</f>
        <v>34</v>
      </c>
      <c r="AA46" s="121">
        <f t="shared" ref="AA46:AA47" si="85">SUM(W46:Z46)</f>
        <v>133</v>
      </c>
      <c r="AB46" s="40">
        <f>AB33+6.5</f>
        <v>32.6</v>
      </c>
      <c r="AC46" s="41">
        <f>AC33+6.3</f>
        <v>29.6</v>
      </c>
      <c r="AD46" s="41">
        <f>AD33+6.3</f>
        <v>50</v>
      </c>
      <c r="AE46" s="42">
        <f>AE33+6.4</f>
        <v>41.3</v>
      </c>
      <c r="AF46" s="121">
        <f t="shared" ref="AF46:AF47" si="86">SUM(AB46:AE46)</f>
        <v>153.5</v>
      </c>
      <c r="AG46" s="40">
        <f>AG33+6.1</f>
        <v>34.4</v>
      </c>
      <c r="AH46" s="41">
        <f>AH33+6</f>
        <v>50.7</v>
      </c>
      <c r="AI46" s="41">
        <f>AI33+6</f>
        <v>47.1</v>
      </c>
      <c r="AJ46" s="42">
        <v>51.3</v>
      </c>
      <c r="AK46" s="121">
        <f t="shared" ref="AK46" si="87">SUM(AG46:AJ46)</f>
        <v>183.5</v>
      </c>
      <c r="AL46" s="40">
        <f>AL33+5.9</f>
        <v>48.6</v>
      </c>
      <c r="AM46" s="41">
        <f>+AM33+5.9</f>
        <v>57.199999999999996</v>
      </c>
      <c r="AN46" s="41">
        <f>+AN33+5.7</f>
        <v>44</v>
      </c>
      <c r="AO46" s="41">
        <f>+AO33+5.7</f>
        <v>38.400000000000006</v>
      </c>
      <c r="AP46" s="121">
        <f t="shared" ref="AP46" si="88">SUM(AL46:AO46)</f>
        <v>188.20000000000002</v>
      </c>
      <c r="AQ46" s="40">
        <f>AQ33+5.8</f>
        <v>34.1</v>
      </c>
      <c r="AR46" s="41">
        <f>AR33+5.7</f>
        <v>41.6</v>
      </c>
      <c r="AS46" s="41">
        <f>AS33+5.5</f>
        <v>35</v>
      </c>
      <c r="AT46" s="41">
        <f>AT33+5.5</f>
        <v>27.9</v>
      </c>
      <c r="AU46" s="121">
        <f t="shared" ref="AU46:AU47" si="89">SUM(AQ46:AT46)</f>
        <v>138.6</v>
      </c>
      <c r="AV46" s="40">
        <f>AV33+5.3</f>
        <v>28.2</v>
      </c>
      <c r="AW46" s="41">
        <f>AW33+5.5</f>
        <v>40.6</v>
      </c>
      <c r="AX46" s="41">
        <f>AX33+5.4</f>
        <v>33.299999999999997</v>
      </c>
      <c r="AY46" s="41">
        <f>AY33+5.5</f>
        <v>22.400000000000002</v>
      </c>
      <c r="AZ46" s="121">
        <f t="shared" ref="AZ46:AZ47" si="90">SUM(AV46:AY46)</f>
        <v>124.5</v>
      </c>
      <c r="BA46" s="40">
        <f>BA33+4.9</f>
        <v>26.6</v>
      </c>
      <c r="BB46" s="41">
        <f>BB33+4.6</f>
        <v>29.9</v>
      </c>
      <c r="BC46" s="41">
        <f>BC33+4.4</f>
        <v>24</v>
      </c>
      <c r="BD46" s="41">
        <f>BD33+4.4</f>
        <v>13.4</v>
      </c>
      <c r="BE46" s="121">
        <f t="shared" ref="BE46:BE47" si="91">SUM(BA46:BD46)</f>
        <v>93.9</v>
      </c>
    </row>
    <row r="47" spans="1:57" s="7" customFormat="1" ht="11.25" x14ac:dyDescent="0.2">
      <c r="A47" s="7" t="s">
        <v>74</v>
      </c>
      <c r="C47" s="19"/>
      <c r="D47" s="20"/>
      <c r="E47" s="20"/>
      <c r="F47" s="21"/>
      <c r="G47" s="117">
        <f>G34+14.5</f>
        <v>14.1</v>
      </c>
      <c r="H47" s="55"/>
      <c r="I47" s="55"/>
      <c r="J47" s="55"/>
      <c r="K47" s="21"/>
      <c r="L47" s="117">
        <f>L34+16.5</f>
        <v>16.5</v>
      </c>
      <c r="M47" s="19"/>
      <c r="N47" s="55"/>
      <c r="O47" s="55"/>
      <c r="P47" s="21"/>
      <c r="Q47" s="117">
        <f>Q34+22.5</f>
        <v>22.7</v>
      </c>
      <c r="R47" s="19">
        <f>R34+6</f>
        <v>5.9</v>
      </c>
      <c r="S47" s="55">
        <f>S34+5.5</f>
        <v>5.3</v>
      </c>
      <c r="T47" s="55">
        <f>T34+5.7</f>
        <v>5.6000000000000005</v>
      </c>
      <c r="U47" s="21">
        <f>U34+5.6</f>
        <v>5.5</v>
      </c>
      <c r="V47" s="117">
        <f>SUM(R47:U47)</f>
        <v>22.3</v>
      </c>
      <c r="W47" s="19">
        <f>W34+4.7</f>
        <v>4.7</v>
      </c>
      <c r="X47" s="55">
        <f>X34+4.7</f>
        <v>4.1000000000000005</v>
      </c>
      <c r="Y47" s="55">
        <f>Y34+4.1</f>
        <v>3.8</v>
      </c>
      <c r="Z47" s="21">
        <f>Z34+3.6</f>
        <v>4.2</v>
      </c>
      <c r="AA47" s="117">
        <f t="shared" si="85"/>
        <v>16.8</v>
      </c>
      <c r="AB47" s="19">
        <f>AB34+3</f>
        <v>3</v>
      </c>
      <c r="AC47" s="55">
        <f>AC34+3.3</f>
        <v>3.8</v>
      </c>
      <c r="AD47" s="55">
        <f>AD34+3.4</f>
        <v>2.7</v>
      </c>
      <c r="AE47" s="21">
        <f>AE34+3.2</f>
        <v>3.5</v>
      </c>
      <c r="AF47" s="117">
        <f t="shared" si="86"/>
        <v>13</v>
      </c>
      <c r="AG47" s="19">
        <f>AG34+2.8</f>
        <v>3.1999999999999997</v>
      </c>
      <c r="AH47" s="55">
        <f>AH34+3.5</f>
        <v>2.9</v>
      </c>
      <c r="AI47" s="55">
        <f>AI34+1.6</f>
        <v>1.2000000000000002</v>
      </c>
      <c r="AJ47" s="21">
        <f>AJ34+3.8</f>
        <v>3.6999999999999997</v>
      </c>
      <c r="AK47" s="117">
        <f>SUM(AG47:AJ47)</f>
        <v>11</v>
      </c>
      <c r="AL47" s="19">
        <f>AL34+2.8</f>
        <v>1.1999999999999997</v>
      </c>
      <c r="AM47" s="55">
        <f>+AM34+2.5</f>
        <v>3.7</v>
      </c>
      <c r="AN47" s="55">
        <f>+AN34+3</f>
        <v>2.7</v>
      </c>
      <c r="AO47" s="55">
        <f>+AO34+3.7</f>
        <v>5.4</v>
      </c>
      <c r="AP47" s="117">
        <f>SUM(AL47:AO47)</f>
        <v>13</v>
      </c>
      <c r="AQ47" s="19">
        <f>+AQ34+3.3</f>
        <v>2.2999999999999998</v>
      </c>
      <c r="AR47" s="131">
        <f>+AR34+3.2</f>
        <v>3.9000000000000004</v>
      </c>
      <c r="AS47" s="131">
        <f>+AS34+2.6</f>
        <v>2.2000000000000002</v>
      </c>
      <c r="AT47" s="131">
        <f>+AT34+3.3</f>
        <v>4.2</v>
      </c>
      <c r="AU47" s="143">
        <f t="shared" si="89"/>
        <v>12.600000000000001</v>
      </c>
      <c r="AV47" s="19">
        <f>+AV34+2.9</f>
        <v>2.9</v>
      </c>
      <c r="AW47" s="55">
        <f>+AW34+2.5</f>
        <v>2.6</v>
      </c>
      <c r="AX47" s="55">
        <f>+AX34+5.2</f>
        <v>5.2</v>
      </c>
      <c r="AY47" s="131">
        <f>AY34+1.7</f>
        <v>1.8</v>
      </c>
      <c r="AZ47" s="117">
        <f t="shared" si="90"/>
        <v>12.5</v>
      </c>
      <c r="BA47" s="19">
        <f>+BA34+3.3</f>
        <v>3.4</v>
      </c>
      <c r="BB47" s="55">
        <f>+BB34+3.6</f>
        <v>3.7</v>
      </c>
      <c r="BC47" s="55">
        <f>+BC34+3.9</f>
        <v>3.6999999999999997</v>
      </c>
      <c r="BD47" s="131">
        <f>BD34+3.5</f>
        <v>3.2999999999999985</v>
      </c>
      <c r="BE47" s="117">
        <f t="shared" si="91"/>
        <v>14.099999999999998</v>
      </c>
    </row>
    <row r="48" spans="1:57" s="7" customFormat="1" ht="11.25" x14ac:dyDescent="0.2">
      <c r="A48" s="22" t="s">
        <v>31</v>
      </c>
      <c r="C48" s="43"/>
      <c r="D48" s="44"/>
      <c r="E48" s="44"/>
      <c r="F48" s="45"/>
      <c r="G48" s="122">
        <f>SUM(G44:G47)</f>
        <v>572.4</v>
      </c>
      <c r="H48" s="44"/>
      <c r="I48" s="24"/>
      <c r="J48" s="24"/>
      <c r="K48" s="28"/>
      <c r="L48" s="122">
        <f>SUM(L44:L47)</f>
        <v>619.79999999999995</v>
      </c>
      <c r="M48" s="43"/>
      <c r="N48" s="44"/>
      <c r="O48" s="44"/>
      <c r="P48" s="45"/>
      <c r="Q48" s="122">
        <f t="shared" ref="Q48:AA48" si="92">SUM(Q43:Q47)</f>
        <v>607.80000000000007</v>
      </c>
      <c r="R48" s="43">
        <f t="shared" si="92"/>
        <v>146.69999999999999</v>
      </c>
      <c r="S48" s="44">
        <f t="shared" si="92"/>
        <v>167.4</v>
      </c>
      <c r="T48" s="44">
        <f t="shared" si="92"/>
        <v>163.4</v>
      </c>
      <c r="U48" s="45">
        <f t="shared" si="92"/>
        <v>161.30000000000001</v>
      </c>
      <c r="V48" s="122">
        <f t="shared" si="92"/>
        <v>638.79999999999995</v>
      </c>
      <c r="W48" s="43">
        <f t="shared" si="92"/>
        <v>152.19999999999999</v>
      </c>
      <c r="X48" s="44">
        <f t="shared" si="92"/>
        <v>176.2</v>
      </c>
      <c r="Y48" s="44">
        <f t="shared" si="92"/>
        <v>188.6</v>
      </c>
      <c r="Z48" s="45">
        <f t="shared" si="92"/>
        <v>172.89999999999998</v>
      </c>
      <c r="AA48" s="122">
        <f t="shared" si="92"/>
        <v>689.89999999999986</v>
      </c>
      <c r="AB48" s="43">
        <f t="shared" ref="AB48:AK48" si="93">SUM(AB43:AB47)</f>
        <v>138</v>
      </c>
      <c r="AC48" s="44">
        <f t="shared" si="93"/>
        <v>96.8</v>
      </c>
      <c r="AD48" s="44">
        <f t="shared" si="93"/>
        <v>202.89999999999998</v>
      </c>
      <c r="AE48" s="45">
        <f t="shared" si="93"/>
        <v>204.40000000000003</v>
      </c>
      <c r="AF48" s="122">
        <f t="shared" si="93"/>
        <v>642.1</v>
      </c>
      <c r="AG48" s="43">
        <f t="shared" si="93"/>
        <v>173.8</v>
      </c>
      <c r="AH48" s="44">
        <f t="shared" si="93"/>
        <v>191.79999999999998</v>
      </c>
      <c r="AI48" s="44">
        <f t="shared" si="93"/>
        <v>190.79999999999998</v>
      </c>
      <c r="AJ48" s="44">
        <f t="shared" si="93"/>
        <v>198.7</v>
      </c>
      <c r="AK48" s="122">
        <f t="shared" si="93"/>
        <v>755.09999999999991</v>
      </c>
      <c r="AL48" s="43">
        <f t="shared" ref="AL48:AP48" si="94">SUM(AL43:AL47)</f>
        <v>183.29999999999998</v>
      </c>
      <c r="AM48" s="44">
        <f t="shared" si="94"/>
        <v>187.49999999999997</v>
      </c>
      <c r="AN48" s="44">
        <f t="shared" si="94"/>
        <v>157.29999999999998</v>
      </c>
      <c r="AO48" s="44">
        <f t="shared" ref="AO48" si="95">SUM(AO43:AO47)</f>
        <v>136.70000000000002</v>
      </c>
      <c r="AP48" s="122">
        <f t="shared" si="94"/>
        <v>664.8</v>
      </c>
      <c r="AQ48" s="43">
        <f t="shared" ref="AQ48:AZ48" si="96">SUM(AQ43:AQ47)</f>
        <v>134.70000000000002</v>
      </c>
      <c r="AR48" s="44">
        <f t="shared" si="96"/>
        <v>136.80000000000001</v>
      </c>
      <c r="AS48" s="44">
        <f t="shared" si="96"/>
        <v>131</v>
      </c>
      <c r="AT48" s="44">
        <f t="shared" ref="AT48" si="97">SUM(AT43:AT47)</f>
        <v>110.90000000000002</v>
      </c>
      <c r="AU48" s="122">
        <f t="shared" si="96"/>
        <v>513.40000000000009</v>
      </c>
      <c r="AV48" s="43">
        <f t="shared" si="96"/>
        <v>96.600000000000009</v>
      </c>
      <c r="AW48" s="44">
        <f t="shared" si="96"/>
        <v>103.8000000000001</v>
      </c>
      <c r="AX48" s="44">
        <f t="shared" si="96"/>
        <v>112.4</v>
      </c>
      <c r="AY48" s="44">
        <f t="shared" si="96"/>
        <v>89.7</v>
      </c>
      <c r="AZ48" s="122">
        <f t="shared" si="96"/>
        <v>402.50000000000011</v>
      </c>
      <c r="BA48" s="43">
        <f t="shared" ref="BA48:BE48" si="98">SUM(BA43:BA47)</f>
        <v>98.199999999999989</v>
      </c>
      <c r="BB48" s="44">
        <f t="shared" si="98"/>
        <v>105.3</v>
      </c>
      <c r="BC48" s="44">
        <f t="shared" si="98"/>
        <v>102.2</v>
      </c>
      <c r="BD48" s="44">
        <f t="shared" si="98"/>
        <v>79.600000000000009</v>
      </c>
      <c r="BE48" s="122">
        <f t="shared" si="98"/>
        <v>385.30000000000007</v>
      </c>
    </row>
    <row r="49" spans="1:57" s="7" customFormat="1" ht="9.9499999999999993" customHeight="1" thickBot="1" x14ac:dyDescent="0.25">
      <c r="C49" s="14"/>
      <c r="F49" s="15"/>
      <c r="G49" s="115"/>
      <c r="K49" s="15"/>
      <c r="L49" s="115"/>
      <c r="M49" s="14"/>
      <c r="P49" s="15"/>
      <c r="Q49" s="115"/>
      <c r="R49" s="14"/>
      <c r="U49" s="15"/>
      <c r="V49" s="115"/>
      <c r="W49" s="14"/>
      <c r="Z49" s="15"/>
      <c r="AA49" s="115"/>
      <c r="AB49" s="14"/>
      <c r="AE49" s="15"/>
      <c r="AF49" s="115"/>
      <c r="AG49" s="14"/>
      <c r="AJ49" s="15"/>
      <c r="AK49" s="115"/>
      <c r="AL49" s="14"/>
      <c r="AO49" s="15"/>
      <c r="AP49" s="115"/>
      <c r="AQ49" s="14"/>
      <c r="AT49" s="15"/>
      <c r="AU49" s="115"/>
      <c r="AV49" s="14"/>
      <c r="AY49" s="15"/>
      <c r="AZ49" s="115"/>
      <c r="BA49" s="14"/>
      <c r="BD49" s="15"/>
      <c r="BE49" s="115"/>
    </row>
    <row r="50" spans="1:57" s="7" customFormat="1" ht="12" thickBot="1" x14ac:dyDescent="0.25">
      <c r="A50" s="13" t="s">
        <v>147</v>
      </c>
      <c r="C50" s="14"/>
      <c r="F50" s="15"/>
      <c r="G50" s="115"/>
      <c r="K50" s="15"/>
      <c r="L50" s="115"/>
      <c r="M50" s="14"/>
      <c r="P50" s="15"/>
      <c r="Q50" s="115"/>
      <c r="R50" s="14"/>
      <c r="U50" s="15"/>
      <c r="V50" s="115"/>
      <c r="W50" s="14"/>
      <c r="Z50" s="15"/>
      <c r="AA50" s="115"/>
      <c r="AB50" s="14"/>
      <c r="AE50" s="15"/>
      <c r="AF50" s="115"/>
      <c r="AG50" s="14"/>
      <c r="AJ50" s="15"/>
      <c r="AK50" s="115"/>
      <c r="AL50" s="14"/>
      <c r="AO50" s="15"/>
      <c r="AP50" s="115"/>
      <c r="AQ50" s="14"/>
      <c r="AT50" s="15"/>
      <c r="AU50" s="115"/>
      <c r="AV50" s="14"/>
      <c r="AY50" s="15"/>
      <c r="AZ50" s="115"/>
      <c r="BA50" s="14"/>
      <c r="BD50" s="15"/>
      <c r="BE50" s="115"/>
    </row>
    <row r="51" spans="1:57" s="7" customFormat="1" ht="11.25" x14ac:dyDescent="0.2">
      <c r="A51" s="7" t="s">
        <v>141</v>
      </c>
      <c r="C51" s="46"/>
      <c r="D51" s="35"/>
      <c r="E51" s="35"/>
      <c r="F51" s="47"/>
      <c r="G51" s="119">
        <f>+G44/G8</f>
        <v>0.12581206496519723</v>
      </c>
      <c r="H51" s="35"/>
      <c r="I51" s="35"/>
      <c r="J51" s="35"/>
      <c r="K51" s="47"/>
      <c r="L51" s="119">
        <f>+L44/L8</f>
        <v>0.1606285751857453</v>
      </c>
      <c r="M51" s="46"/>
      <c r="N51" s="35"/>
      <c r="O51" s="35"/>
      <c r="P51" s="47"/>
      <c r="Q51" s="119">
        <f t="shared" ref="Q51:AA51" si="99">+Q44/Q8</f>
        <v>0.14162876191663029</v>
      </c>
      <c r="R51" s="46">
        <f t="shared" si="99"/>
        <v>0.132569558101473</v>
      </c>
      <c r="S51" s="35">
        <f t="shared" si="99"/>
        <v>0.13456871828810943</v>
      </c>
      <c r="T51" s="35">
        <f t="shared" si="99"/>
        <v>0.14842609964561185</v>
      </c>
      <c r="U51" s="47">
        <f t="shared" si="99"/>
        <v>0.14335020708697654</v>
      </c>
      <c r="V51" s="119">
        <f t="shared" si="99"/>
        <v>0.13992090458419204</v>
      </c>
      <c r="W51" s="46">
        <f t="shared" si="99"/>
        <v>0.1367490528594624</v>
      </c>
      <c r="X51" s="35">
        <f t="shared" si="99"/>
        <v>0.14373680506685435</v>
      </c>
      <c r="Y51" s="35">
        <f t="shared" si="99"/>
        <v>0.15912869970069837</v>
      </c>
      <c r="Z51" s="47">
        <f t="shared" si="99"/>
        <v>0.14183327046397584</v>
      </c>
      <c r="AA51" s="119">
        <f t="shared" si="99"/>
        <v>0.14567715033491546</v>
      </c>
      <c r="AB51" s="46">
        <f t="shared" ref="AB51:AK53" si="100">+AB44/AB8</f>
        <v>0.12943334692213615</v>
      </c>
      <c r="AC51" s="35">
        <f t="shared" si="100"/>
        <v>0.11471018022406233</v>
      </c>
      <c r="AD51" s="35">
        <f t="shared" ref="AD51" si="101">+AD44/AD8</f>
        <v>0.17480501865038997</v>
      </c>
      <c r="AE51" s="35">
        <f t="shared" ref="AE51:AE53" si="102">+AE44/AE8</f>
        <v>0.17580653985738515</v>
      </c>
      <c r="AF51" s="119">
        <f t="shared" si="100"/>
        <v>0.15205974511236536</v>
      </c>
      <c r="AG51" s="46">
        <f t="shared" si="100"/>
        <v>0.16778648749533409</v>
      </c>
      <c r="AH51" s="35">
        <f t="shared" si="100"/>
        <v>0.16198455725316246</v>
      </c>
      <c r="AI51" s="35">
        <f t="shared" si="100"/>
        <v>0.16322842945339555</v>
      </c>
      <c r="AJ51" s="35">
        <f t="shared" si="100"/>
        <v>0.15912250888305268</v>
      </c>
      <c r="AK51" s="119">
        <f t="shared" si="100"/>
        <v>0.16283236288122482</v>
      </c>
      <c r="AL51" s="46">
        <f t="shared" ref="AL51:AM51" si="103">+AL44/AL8</f>
        <v>0.16015014075695966</v>
      </c>
      <c r="AM51" s="35">
        <f t="shared" si="103"/>
        <v>0.15559183673469387</v>
      </c>
      <c r="AN51" s="35">
        <f>+AN44/AN8</f>
        <v>0.11958762886597937</v>
      </c>
      <c r="AO51" s="35">
        <f>+AO44/AO8</f>
        <v>0.10796324655436447</v>
      </c>
      <c r="AP51" s="119">
        <f>+AP44/AP8</f>
        <v>0.13737639519585787</v>
      </c>
      <c r="AQ51" s="46">
        <f t="shared" ref="AQ51:AU53" si="104">+AQ44/AQ8</f>
        <v>0.11144749290444654</v>
      </c>
      <c r="AR51" s="33">
        <v>9.5000000000000001E-2</v>
      </c>
      <c r="AS51" s="35">
        <v>0.107</v>
      </c>
      <c r="AT51" s="33">
        <v>8.3000000000000004E-2</v>
      </c>
      <c r="AU51" s="120">
        <f t="shared" ref="AU51:AV53" si="105">+AU44/AU8</f>
        <v>9.9811676082862524E-2</v>
      </c>
      <c r="AV51" s="46">
        <f t="shared" si="105"/>
        <v>7.0758928571428584E-2</v>
      </c>
      <c r="AW51" s="35">
        <f t="shared" ref="AW51:AX51" si="106">+AW44/AW8</f>
        <v>3.4018264840182853E-2</v>
      </c>
      <c r="AX51" s="35">
        <f t="shared" si="106"/>
        <v>7.6992143658810325E-2</v>
      </c>
      <c r="AY51" s="35">
        <v>5.6000000000000001E-2</v>
      </c>
      <c r="AZ51" s="119">
        <f t="shared" ref="AZ51:BD53" si="107">+AZ44/AZ8</f>
        <v>5.9599246446309352E-2</v>
      </c>
      <c r="BA51" s="46">
        <f t="shared" si="107"/>
        <v>6.6547222933196828E-2</v>
      </c>
      <c r="BB51" s="35">
        <f t="shared" si="107"/>
        <v>6.6172713336739922E-2</v>
      </c>
      <c r="BC51" s="35">
        <f t="shared" si="107"/>
        <v>9.8385093167701845E-2</v>
      </c>
      <c r="BD51" s="35">
        <f t="shared" si="107"/>
        <v>8.5339753879079716E-2</v>
      </c>
      <c r="BE51" s="119">
        <f t="shared" ref="BE51" si="108">+BE44/BE8</f>
        <v>7.9183778234086247E-2</v>
      </c>
    </row>
    <row r="52" spans="1:57" s="7" customFormat="1" ht="11.25" x14ac:dyDescent="0.2">
      <c r="A52" s="7" t="s">
        <v>30</v>
      </c>
      <c r="C52" s="46"/>
      <c r="D52" s="35"/>
      <c r="E52" s="35"/>
      <c r="F52" s="47"/>
      <c r="G52" s="119">
        <f>+G45/G9</f>
        <v>0.20968125594671738</v>
      </c>
      <c r="H52" s="35"/>
      <c r="I52" s="35"/>
      <c r="J52" s="35"/>
      <c r="K52" s="47"/>
      <c r="L52" s="119">
        <f>+L45/L9</f>
        <v>0.22771727050455656</v>
      </c>
      <c r="M52" s="46"/>
      <c r="N52" s="35"/>
      <c r="O52" s="35"/>
      <c r="P52" s="47"/>
      <c r="Q52" s="119">
        <f t="shared" ref="Q52:AA52" si="109">+Q45/Q9</f>
        <v>0.22105825761624801</v>
      </c>
      <c r="R52" s="46">
        <f t="shared" si="109"/>
        <v>0.20718025430067316</v>
      </c>
      <c r="S52" s="35">
        <f t="shared" si="109"/>
        <v>0.22471910112359553</v>
      </c>
      <c r="T52" s="35">
        <f t="shared" si="109"/>
        <v>0.21065088757396452</v>
      </c>
      <c r="U52" s="47">
        <f t="shared" si="109"/>
        <v>0.22235067437379577</v>
      </c>
      <c r="V52" s="119">
        <f t="shared" si="109"/>
        <v>0.21632112089368552</v>
      </c>
      <c r="W52" s="46">
        <f t="shared" si="109"/>
        <v>0.17421072651198174</v>
      </c>
      <c r="X52" s="35">
        <f t="shared" si="109"/>
        <v>0.19438202247191011</v>
      </c>
      <c r="Y52" s="35">
        <f t="shared" si="109"/>
        <v>0.20396706586826349</v>
      </c>
      <c r="Z52" s="47">
        <f t="shared" si="109"/>
        <v>0.22061549870226177</v>
      </c>
      <c r="AA52" s="119">
        <f t="shared" si="109"/>
        <v>0.19844394450693664</v>
      </c>
      <c r="AB52" s="46">
        <f t="shared" si="100"/>
        <v>0.16588486140724945</v>
      </c>
      <c r="AC52" s="35">
        <f t="shared" si="100"/>
        <v>0.11576704545454543</v>
      </c>
      <c r="AD52" s="35">
        <f t="shared" ref="AD52" si="110">+AD45/AD9</f>
        <v>0.19390695759571838</v>
      </c>
      <c r="AE52" s="35">
        <f t="shared" si="102"/>
        <v>0.23150183150183151</v>
      </c>
      <c r="AF52" s="119">
        <f t="shared" si="100"/>
        <v>0.18570466786355475</v>
      </c>
      <c r="AG52" s="46">
        <f t="shared" si="100"/>
        <v>0.17973602484472051</v>
      </c>
      <c r="AH52" s="35">
        <f t="shared" si="100"/>
        <v>0.16383947041787339</v>
      </c>
      <c r="AI52" s="35">
        <f t="shared" si="100"/>
        <v>0.14473684210526314</v>
      </c>
      <c r="AJ52" s="35">
        <f t="shared" si="100"/>
        <v>0.15416666666666667</v>
      </c>
      <c r="AK52" s="119">
        <f t="shared" si="100"/>
        <v>0.16087696466112722</v>
      </c>
      <c r="AL52" s="46">
        <f t="shared" ref="AL52:AP52" si="111">+AL45/AL9</f>
        <v>0.1177584248390761</v>
      </c>
      <c r="AM52" s="35">
        <f t="shared" si="111"/>
        <v>0.12033833141099574</v>
      </c>
      <c r="AN52" s="35">
        <f t="shared" ref="AN52:AO52" si="112">+AN45/AN9</f>
        <v>0.14074836937864743</v>
      </c>
      <c r="AO52" s="35">
        <f t="shared" si="112"/>
        <v>0.12054161162483487</v>
      </c>
      <c r="AP52" s="119">
        <f t="shared" si="111"/>
        <v>0.12510059912366986</v>
      </c>
      <c r="AQ52" s="46">
        <f t="shared" si="104"/>
        <v>0.12285625194886186</v>
      </c>
      <c r="AR52" s="35">
        <v>0.13500000000000001</v>
      </c>
      <c r="AS52" s="35">
        <v>0.13100000000000001</v>
      </c>
      <c r="AT52" s="35">
        <v>0.13</v>
      </c>
      <c r="AU52" s="119">
        <f t="shared" si="104"/>
        <v>0.12978590404750745</v>
      </c>
      <c r="AV52" s="46">
        <f t="shared" si="105"/>
        <v>0.10699588477366255</v>
      </c>
      <c r="AW52" s="35">
        <f t="shared" ref="AW52:AX52" si="113">+AW45/AW9</f>
        <v>0.142991239048811</v>
      </c>
      <c r="AX52" s="35">
        <f t="shared" si="113"/>
        <v>0.13204401467155721</v>
      </c>
      <c r="AY52" s="35">
        <v>0.13800000000000001</v>
      </c>
      <c r="AZ52" s="119">
        <f t="shared" si="107"/>
        <v>0.13001371963521913</v>
      </c>
      <c r="BA52" s="46">
        <f t="shared" si="107"/>
        <v>0.14061979340219924</v>
      </c>
      <c r="BB52" s="35">
        <f t="shared" si="107"/>
        <v>0.15060835251561985</v>
      </c>
      <c r="BC52" s="35">
        <f t="shared" si="107"/>
        <v>0.12576576576576579</v>
      </c>
      <c r="BD52" s="35">
        <f t="shared" si="107"/>
        <v>0.12879102617366017</v>
      </c>
      <c r="BE52" s="119">
        <f t="shared" ref="BE52" si="114">+BE45/BE9</f>
        <v>0.13711689237348537</v>
      </c>
    </row>
    <row r="53" spans="1:57" s="7" customFormat="1" ht="11.25" x14ac:dyDescent="0.2">
      <c r="A53" s="7" t="s">
        <v>142</v>
      </c>
      <c r="C53" s="46"/>
      <c r="D53" s="35"/>
      <c r="E53" s="35"/>
      <c r="F53" s="47"/>
      <c r="G53" s="119">
        <f>+G46/G10</f>
        <v>0.12207926648920436</v>
      </c>
      <c r="H53" s="35"/>
      <c r="I53" s="35"/>
      <c r="J53" s="35"/>
      <c r="K53" s="47"/>
      <c r="L53" s="119">
        <f>+L46/L10</f>
        <v>0.1159343966295516</v>
      </c>
      <c r="M53" s="46"/>
      <c r="N53" s="35"/>
      <c r="O53" s="35"/>
      <c r="P53" s="47"/>
      <c r="Q53" s="119">
        <f t="shared" ref="Q53:AA53" si="115">+Q46/Q10</f>
        <v>0.1075958386774975</v>
      </c>
      <c r="R53" s="46">
        <f t="shared" si="115"/>
        <v>8.6005394066526825E-2</v>
      </c>
      <c r="S53" s="35">
        <f t="shared" si="115"/>
        <v>0.10474149477631932</v>
      </c>
      <c r="T53" s="35">
        <f t="shared" si="115"/>
        <v>9.2659782305330729E-2</v>
      </c>
      <c r="U53" s="47">
        <f t="shared" si="115"/>
        <v>0.10153148043108338</v>
      </c>
      <c r="V53" s="119">
        <f t="shared" si="115"/>
        <v>9.6480710910501449E-2</v>
      </c>
      <c r="W53" s="46">
        <f t="shared" si="115"/>
        <v>7.6649896419058894E-2</v>
      </c>
      <c r="X53" s="35">
        <f t="shared" si="115"/>
        <v>0.1019057702488089</v>
      </c>
      <c r="Y53" s="35">
        <f t="shared" si="115"/>
        <v>9.3336930132182361E-2</v>
      </c>
      <c r="Z53" s="47">
        <f t="shared" si="115"/>
        <v>9.8550724637681164E-2</v>
      </c>
      <c r="AA53" s="119">
        <f t="shared" si="115"/>
        <v>9.2916026267989379E-2</v>
      </c>
      <c r="AB53" s="46">
        <f t="shared" si="100"/>
        <v>0.10174781523096131</v>
      </c>
      <c r="AC53" s="35">
        <f t="shared" si="100"/>
        <v>0.10078311201906709</v>
      </c>
      <c r="AD53" s="35">
        <f t="shared" ref="AD53" si="116">+AD46/AD10</f>
        <v>0.13336889837289945</v>
      </c>
      <c r="AE53" s="35">
        <f t="shared" si="102"/>
        <v>0.11449958414194621</v>
      </c>
      <c r="AF53" s="119">
        <f t="shared" si="100"/>
        <v>0.11372897680966142</v>
      </c>
      <c r="AG53" s="46">
        <f t="shared" si="100"/>
        <v>9.6223776223776217E-2</v>
      </c>
      <c r="AH53" s="35">
        <f t="shared" si="100"/>
        <v>0.12094465648854963</v>
      </c>
      <c r="AI53" s="35">
        <f t="shared" si="100"/>
        <v>0.11227651966626938</v>
      </c>
      <c r="AJ53" s="35">
        <f t="shared" si="100"/>
        <v>0.12167931688804552</v>
      </c>
      <c r="AK53" s="119">
        <f t="shared" si="100"/>
        <v>0.11342563975769562</v>
      </c>
      <c r="AL53" s="46">
        <f t="shared" ref="AL53:AP53" si="117">+AL46/AL10</f>
        <v>0.11604584527220631</v>
      </c>
      <c r="AM53" s="35">
        <f t="shared" si="117"/>
        <v>0.1239168110918544</v>
      </c>
      <c r="AN53" s="35">
        <f t="shared" ref="AN53:AO53" si="118">+AN46/AN10</f>
        <v>0.10448824507242935</v>
      </c>
      <c r="AO53" s="35">
        <f t="shared" si="118"/>
        <v>0.10361575822989748</v>
      </c>
      <c r="AP53" s="119">
        <f t="shared" si="117"/>
        <v>0.11255307696908082</v>
      </c>
      <c r="AQ53" s="46">
        <f t="shared" si="104"/>
        <v>9.3578485181119664E-2</v>
      </c>
      <c r="AR53" s="35">
        <v>0.105</v>
      </c>
      <c r="AS53" s="35">
        <v>9.4E-2</v>
      </c>
      <c r="AT53" s="35">
        <v>0.08</v>
      </c>
      <c r="AU53" s="119">
        <f t="shared" si="104"/>
        <v>9.3598055105348452E-2</v>
      </c>
      <c r="AV53" s="46">
        <f t="shared" si="105"/>
        <v>8.468468468468468E-2</v>
      </c>
      <c r="AW53" s="35">
        <f t="shared" ref="AW53:AX53" si="119">+AW46/AW10</f>
        <v>0.10943396226415095</v>
      </c>
      <c r="AX53" s="35">
        <f t="shared" si="119"/>
        <v>9.346056693797361E-2</v>
      </c>
      <c r="AY53" s="35">
        <v>6.7000000000000004E-2</v>
      </c>
      <c r="AZ53" s="119">
        <f t="shared" si="107"/>
        <v>8.9388282596209082E-2</v>
      </c>
      <c r="BA53" s="46">
        <f t="shared" si="107"/>
        <v>8.0289767582251731E-2</v>
      </c>
      <c r="BB53" s="35">
        <f t="shared" si="107"/>
        <v>8.2482758620689656E-2</v>
      </c>
      <c r="BC53" s="35">
        <f t="shared" si="107"/>
        <v>6.7340067340067339E-2</v>
      </c>
      <c r="BD53" s="35">
        <f t="shared" si="107"/>
        <v>4.134526380746683E-2</v>
      </c>
      <c r="BE53" s="119">
        <f t="shared" ref="BE53" si="120">+BE46/BE10</f>
        <v>6.8325693080113534E-2</v>
      </c>
    </row>
    <row r="54" spans="1:57" s="7" customFormat="1" ht="11.25" x14ac:dyDescent="0.2">
      <c r="A54" s="22" t="s">
        <v>41</v>
      </c>
      <c r="B54" s="22"/>
      <c r="C54" s="48"/>
      <c r="D54" s="49"/>
      <c r="E54" s="49"/>
      <c r="F54" s="50"/>
      <c r="G54" s="123">
        <f>+G48/G11</f>
        <v>0.1461247830082712</v>
      </c>
      <c r="H54" s="49"/>
      <c r="I54" s="49"/>
      <c r="J54" s="49"/>
      <c r="K54" s="50"/>
      <c r="L54" s="123">
        <f>+L48/L11</f>
        <v>0.16528440758420224</v>
      </c>
      <c r="M54" s="48"/>
      <c r="N54" s="49"/>
      <c r="O54" s="49"/>
      <c r="P54" s="50"/>
      <c r="Q54" s="123">
        <f t="shared" ref="Q54:AA54" si="121">+Q48/Q11</f>
        <v>0.15411532024950556</v>
      </c>
      <c r="R54" s="48">
        <f t="shared" si="121"/>
        <v>0.14259331259720062</v>
      </c>
      <c r="S54" s="49">
        <f t="shared" si="121"/>
        <v>0.15183673469387757</v>
      </c>
      <c r="T54" s="49">
        <f t="shared" si="121"/>
        <v>0.14970224461749887</v>
      </c>
      <c r="U54" s="50">
        <f t="shared" si="121"/>
        <v>0.15410337250406039</v>
      </c>
      <c r="V54" s="123">
        <f t="shared" si="121"/>
        <v>0.14961939337158917</v>
      </c>
      <c r="W54" s="48">
        <f t="shared" si="121"/>
        <v>0.13176348368106658</v>
      </c>
      <c r="X54" s="49">
        <f t="shared" si="121"/>
        <v>0.14523574019122978</v>
      </c>
      <c r="Y54" s="49">
        <f t="shared" si="121"/>
        <v>0.15218268377309771</v>
      </c>
      <c r="Z54" s="50">
        <f t="shared" si="121"/>
        <v>0.15101755611843826</v>
      </c>
      <c r="AA54" s="123">
        <f t="shared" si="121"/>
        <v>0.14516570226196734</v>
      </c>
      <c r="AB54" s="48">
        <f t="shared" ref="AB54:AK54" si="122">+AB48/AB11</f>
        <v>0.13199426111908177</v>
      </c>
      <c r="AC54" s="49">
        <f t="shared" si="122"/>
        <v>0.11454265767364807</v>
      </c>
      <c r="AD54" s="49">
        <f t="shared" si="122"/>
        <v>0.16801921165948988</v>
      </c>
      <c r="AE54" s="49">
        <f t="shared" si="122"/>
        <v>0.17292285305787505</v>
      </c>
      <c r="AF54" s="123">
        <f t="shared" si="122"/>
        <v>0.15001530291596482</v>
      </c>
      <c r="AG54" s="48">
        <f t="shared" si="122"/>
        <v>0.1510122512816057</v>
      </c>
      <c r="AH54" s="49">
        <f t="shared" si="122"/>
        <v>0.15107120352867043</v>
      </c>
      <c r="AI54" s="49">
        <f t="shared" si="122"/>
        <v>0.14463311097634929</v>
      </c>
      <c r="AJ54" s="49">
        <f t="shared" si="122"/>
        <v>0.14907344887088303</v>
      </c>
      <c r="AK54" s="123">
        <f t="shared" si="122"/>
        <v>0.14885857351259707</v>
      </c>
      <c r="AL54" s="48">
        <f t="shared" ref="AL54:AP54" si="123">+AL48/AL11</f>
        <v>0.13862209785978974</v>
      </c>
      <c r="AM54" s="49">
        <f t="shared" si="123"/>
        <v>0.14053365312546842</v>
      </c>
      <c r="AN54" s="49">
        <f t="shared" ref="AN54:AO54" si="124">+AN48/AN11</f>
        <v>0.12152348578491963</v>
      </c>
      <c r="AO54" s="49">
        <f t="shared" si="124"/>
        <v>0.11431677538049841</v>
      </c>
      <c r="AP54" s="123">
        <f t="shared" si="123"/>
        <v>0.12917014786173661</v>
      </c>
      <c r="AQ54" s="48">
        <f t="shared" ref="AQ54" si="125">+AQ48/AQ11</f>
        <v>0.11099208965062626</v>
      </c>
      <c r="AR54" s="49">
        <v>0.112</v>
      </c>
      <c r="AS54" s="49">
        <v>0.111</v>
      </c>
      <c r="AT54" s="49">
        <v>9.9000000000000005E-2</v>
      </c>
      <c r="AU54" s="123">
        <f>+AU48/AU11</f>
        <v>0.10864918629505006</v>
      </c>
      <c r="AV54" s="48">
        <f t="shared" ref="AV54:AW54" si="126">+AV48/AV11</f>
        <v>8.8066368857689856E-2</v>
      </c>
      <c r="AW54" s="49">
        <f t="shared" si="126"/>
        <v>9.1972355130249955E-2</v>
      </c>
      <c r="AX54" s="49">
        <f t="shared" ref="AX54" si="127">+AX48/AX11</f>
        <v>0.10202414450394845</v>
      </c>
      <c r="AY54" s="49">
        <v>8.5000000000000006E-2</v>
      </c>
      <c r="AZ54" s="123">
        <f t="shared" ref="AZ54:BD54" si="128">+AZ48/AZ11</f>
        <v>9.1819509079295578E-2</v>
      </c>
      <c r="BA54" s="48">
        <f t="shared" si="128"/>
        <v>9.6076704823402789E-2</v>
      </c>
      <c r="BB54" s="49">
        <f t="shared" si="128"/>
        <v>9.952741020793951E-2</v>
      </c>
      <c r="BC54" s="49">
        <f t="shared" si="128"/>
        <v>9.8610575067541478E-2</v>
      </c>
      <c r="BD54" s="49">
        <f t="shared" si="128"/>
        <v>8.4807159599403367E-2</v>
      </c>
      <c r="BE54" s="123">
        <f t="shared" ref="BE54" si="129">+BE48/BE11</f>
        <v>9.5016152499321854E-2</v>
      </c>
    </row>
    <row r="55" spans="1:57" s="7" customFormat="1" ht="11.25" x14ac:dyDescent="0.2">
      <c r="A55" s="2"/>
      <c r="B55" s="22"/>
    </row>
    <row r="56" spans="1:57" s="7" customFormat="1" ht="11.25" x14ac:dyDescent="0.2">
      <c r="A56" s="2"/>
      <c r="B56" s="22"/>
      <c r="C56" s="52" t="s">
        <v>148</v>
      </c>
    </row>
    <row r="57" spans="1:57" s="7" customFormat="1" ht="11.25" x14ac:dyDescent="0.2">
      <c r="B57" s="22"/>
      <c r="C57" s="52" t="s">
        <v>152</v>
      </c>
    </row>
    <row r="58" spans="1:57" s="7" customFormat="1" ht="16.149999999999999" customHeight="1" x14ac:dyDescent="0.3">
      <c r="B58" s="22"/>
      <c r="C58" s="52" t="s">
        <v>150</v>
      </c>
      <c r="AG58" s="3"/>
      <c r="AH58" s="3"/>
      <c r="AI58" s="3"/>
      <c r="AL58" s="3"/>
      <c r="AM58" s="3"/>
      <c r="AN58" s="3"/>
    </row>
    <row r="59" spans="1:57" s="3" customFormat="1" ht="15" hidden="1" customHeight="1" x14ac:dyDescent="0.3">
      <c r="A59"/>
      <c r="B59"/>
      <c r="C59" s="52" t="s">
        <v>153</v>
      </c>
      <c r="AG59" s="59"/>
      <c r="AH59" s="59"/>
      <c r="AI59" s="59"/>
      <c r="AL59" s="59"/>
      <c r="AM59" s="59"/>
      <c r="AN59" s="59"/>
    </row>
    <row r="60" spans="1:57" ht="15" customHeight="1" x14ac:dyDescent="0.2">
      <c r="A60"/>
      <c r="B60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</row>
    <row r="61" spans="1:57" ht="10.5" customHeight="1" x14ac:dyDescent="0.2">
      <c r="A61"/>
      <c r="B61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7"/>
      <c r="AH61" s="7"/>
      <c r="AI61" s="7"/>
      <c r="AJ61" s="59"/>
      <c r="AK61" s="59"/>
      <c r="AL61" s="7"/>
      <c r="AM61" s="7"/>
      <c r="AN61" s="7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</row>
    <row r="62" spans="1:57" s="7" customFormat="1" x14ac:dyDescent="0.2">
      <c r="A62"/>
      <c r="B62"/>
    </row>
    <row r="63" spans="1:57" s="7" customFormat="1" x14ac:dyDescent="0.2">
      <c r="A63"/>
      <c r="B63"/>
    </row>
    <row r="64" spans="1:57" s="7" customFormat="1" x14ac:dyDescent="0.2">
      <c r="A64"/>
      <c r="B64"/>
    </row>
    <row r="65" spans="1:2" s="7" customFormat="1" x14ac:dyDescent="0.2">
      <c r="A65"/>
      <c r="B65"/>
    </row>
    <row r="66" spans="1:2" s="7" customFormat="1" x14ac:dyDescent="0.2">
      <c r="A66"/>
      <c r="B66"/>
    </row>
    <row r="67" spans="1:2" s="7" customFormat="1" x14ac:dyDescent="0.2">
      <c r="A67"/>
      <c r="B67"/>
    </row>
    <row r="68" spans="1:2" s="7" customFormat="1" x14ac:dyDescent="0.2">
      <c r="A68"/>
      <c r="B68"/>
    </row>
    <row r="69" spans="1:2" s="7" customFormat="1" x14ac:dyDescent="0.2">
      <c r="A69"/>
      <c r="B69"/>
    </row>
    <row r="70" spans="1:2" s="7" customFormat="1" ht="9.9499999999999993" customHeight="1" x14ac:dyDescent="0.2">
      <c r="A70"/>
      <c r="B70"/>
    </row>
    <row r="71" spans="1:2" s="7" customFormat="1" x14ac:dyDescent="0.2">
      <c r="A71"/>
      <c r="B71"/>
    </row>
    <row r="72" spans="1:2" s="7" customFormat="1" x14ac:dyDescent="0.2">
      <c r="A72"/>
      <c r="B72"/>
    </row>
    <row r="73" spans="1:2" s="7" customFormat="1" x14ac:dyDescent="0.2">
      <c r="A73"/>
      <c r="B73"/>
    </row>
    <row r="74" spans="1:2" s="7" customFormat="1" x14ac:dyDescent="0.2">
      <c r="A74"/>
      <c r="B74"/>
    </row>
    <row r="75" spans="1:2" s="7" customFormat="1" x14ac:dyDescent="0.2">
      <c r="A75"/>
      <c r="B75"/>
    </row>
    <row r="76" spans="1:2" s="7" customFormat="1" ht="9.9499999999999993" customHeight="1" x14ac:dyDescent="0.2">
      <c r="A76"/>
      <c r="B76"/>
    </row>
    <row r="77" spans="1:2" s="7" customFormat="1" x14ac:dyDescent="0.2">
      <c r="A77"/>
      <c r="B77"/>
    </row>
    <row r="78" spans="1:2" s="7" customFormat="1" x14ac:dyDescent="0.2">
      <c r="A78"/>
      <c r="B78"/>
    </row>
    <row r="79" spans="1:2" s="7" customFormat="1" x14ac:dyDescent="0.2">
      <c r="A79"/>
      <c r="B79"/>
    </row>
    <row r="80" spans="1:2" s="7" customFormat="1" x14ac:dyDescent="0.2">
      <c r="A80"/>
      <c r="B80"/>
    </row>
    <row r="81" spans="1:2" s="7" customFormat="1" x14ac:dyDescent="0.2">
      <c r="A81"/>
      <c r="B81"/>
    </row>
    <row r="82" spans="1:2" s="7" customFormat="1" x14ac:dyDescent="0.2">
      <c r="A82"/>
      <c r="B82"/>
    </row>
    <row r="83" spans="1:2" s="7" customFormat="1" ht="9.9499999999999993" customHeight="1" x14ac:dyDescent="0.2">
      <c r="A83"/>
      <c r="B83"/>
    </row>
    <row r="84" spans="1:2" s="7" customFormat="1" x14ac:dyDescent="0.2">
      <c r="A84"/>
      <c r="B84"/>
    </row>
    <row r="85" spans="1:2" s="7" customFormat="1" x14ac:dyDescent="0.2">
      <c r="A85"/>
      <c r="B85"/>
    </row>
    <row r="86" spans="1:2" s="7" customFormat="1" x14ac:dyDescent="0.2">
      <c r="A86"/>
      <c r="B86"/>
    </row>
    <row r="87" spans="1:2" s="7" customFormat="1" x14ac:dyDescent="0.2">
      <c r="A87"/>
      <c r="B87"/>
    </row>
    <row r="88" spans="1:2" s="7" customFormat="1" x14ac:dyDescent="0.2">
      <c r="A88"/>
      <c r="B88"/>
    </row>
    <row r="89" spans="1:2" s="7" customFormat="1" ht="9.9499999999999993" customHeight="1" x14ac:dyDescent="0.2">
      <c r="A89"/>
      <c r="B89"/>
    </row>
    <row r="90" spans="1:2" s="7" customFormat="1" x14ac:dyDescent="0.2">
      <c r="A90"/>
      <c r="B90"/>
    </row>
    <row r="91" spans="1:2" s="7" customFormat="1" x14ac:dyDescent="0.2">
      <c r="A91"/>
      <c r="B91"/>
    </row>
    <row r="92" spans="1:2" s="7" customFormat="1" x14ac:dyDescent="0.2">
      <c r="A92"/>
      <c r="B92"/>
    </row>
    <row r="93" spans="1:2" s="7" customFormat="1" x14ac:dyDescent="0.2">
      <c r="A93"/>
      <c r="B93"/>
    </row>
    <row r="94" spans="1:2" s="7" customFormat="1" x14ac:dyDescent="0.2">
      <c r="A94"/>
      <c r="B94"/>
    </row>
    <row r="95" spans="1:2" s="7" customFormat="1" x14ac:dyDescent="0.2">
      <c r="A95"/>
      <c r="B95"/>
    </row>
    <row r="96" spans="1:2" s="7" customFormat="1" x14ac:dyDescent="0.2">
      <c r="A96"/>
      <c r="B96"/>
    </row>
    <row r="97" spans="1:40" s="7" customFormat="1" ht="9.9499999999999993" customHeight="1" x14ac:dyDescent="0.2">
      <c r="A97"/>
      <c r="B97"/>
    </row>
    <row r="98" spans="1:40" s="7" customFormat="1" x14ac:dyDescent="0.2">
      <c r="A98"/>
      <c r="B98"/>
    </row>
    <row r="99" spans="1:40" s="7" customFormat="1" x14ac:dyDescent="0.2">
      <c r="A99"/>
      <c r="B99"/>
    </row>
    <row r="100" spans="1:40" s="7" customFormat="1" x14ac:dyDescent="0.2">
      <c r="A100"/>
      <c r="B100"/>
    </row>
    <row r="101" spans="1:40" s="7" customFormat="1" x14ac:dyDescent="0.2">
      <c r="A101"/>
      <c r="B101"/>
    </row>
    <row r="102" spans="1:40" s="7" customFormat="1" x14ac:dyDescent="0.2">
      <c r="A102"/>
      <c r="B102"/>
    </row>
    <row r="103" spans="1:40" s="7" customFormat="1" x14ac:dyDescent="0.2">
      <c r="A103"/>
      <c r="B103"/>
    </row>
    <row r="104" spans="1:40" s="7" customFormat="1" x14ac:dyDescent="0.2">
      <c r="A104"/>
      <c r="B104"/>
    </row>
    <row r="105" spans="1:40" s="7" customFormat="1" x14ac:dyDescent="0.2">
      <c r="A105"/>
      <c r="B105"/>
    </row>
    <row r="106" spans="1:40" s="7" customFormat="1" x14ac:dyDescent="0.2">
      <c r="A106"/>
      <c r="B106"/>
    </row>
    <row r="107" spans="1:40" s="7" customFormat="1" x14ac:dyDescent="0.2">
      <c r="A107"/>
      <c r="B107"/>
      <c r="AG107" s="59"/>
      <c r="AH107" s="59"/>
      <c r="AI107" s="59"/>
      <c r="AL107" s="59"/>
      <c r="AM107" s="59"/>
      <c r="AN107" s="59"/>
    </row>
    <row r="108" spans="1:40" x14ac:dyDescent="0.2">
      <c r="A108"/>
      <c r="B10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</row>
  </sheetData>
  <mergeCells count="11">
    <mergeCell ref="BA5:BE5"/>
    <mergeCell ref="AV5:AZ5"/>
    <mergeCell ref="AQ5:AU5"/>
    <mergeCell ref="C5:G5"/>
    <mergeCell ref="H5:L5"/>
    <mergeCell ref="M5:Q5"/>
    <mergeCell ref="AL5:AP5"/>
    <mergeCell ref="AG5:AK5"/>
    <mergeCell ref="AB5:AF5"/>
    <mergeCell ref="R5:V5"/>
    <mergeCell ref="W5:AA5"/>
  </mergeCells>
  <pageMargins left="0.45" right="0.2" top="0.75" bottom="0.5" header="0.3" footer="0.3"/>
  <pageSetup scale="56" fitToWidth="2" orientation="landscape" r:id="rId1"/>
  <colBreaks count="1" manualBreakCount="1">
    <brk id="27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89ac22f-bdf3-4910-a920-c68c1243d4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5E1B22DB754A4FB95E693AACBF0552" ma:contentTypeVersion="13" ma:contentTypeDescription="Create a new document." ma:contentTypeScope="" ma:versionID="537be953d3592bdd339d1a39d58a777e">
  <xsd:schema xmlns:xsd="http://www.w3.org/2001/XMLSchema" xmlns:xs="http://www.w3.org/2001/XMLSchema" xmlns:p="http://schemas.microsoft.com/office/2006/metadata/properties" xmlns:ns2="789ac22f-bdf3-4910-a920-c68c1243d4c6" xmlns:ns3="440cd060-9f12-415d-ac22-a3d0bcae5648" targetNamespace="http://schemas.microsoft.com/office/2006/metadata/properties" ma:root="true" ma:fieldsID="2c77d4422a313288210895095ec2662b" ns2:_="" ns3:_="">
    <xsd:import namespace="789ac22f-bdf3-4910-a920-c68c1243d4c6"/>
    <xsd:import namespace="440cd060-9f12-415d-ac22-a3d0bcae5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ac22f-bdf3-4910-a920-c68c1243d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cd060-9f12-415d-ac22-a3d0bcae5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B24F57-EA97-448C-AA97-3F28CA0D7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4E5F58-5265-4E68-89F4-8B6C8B1C3E2A}">
  <ds:schemaRefs>
    <ds:schemaRef ds:uri="789ac22f-bdf3-4910-a920-c68c1243d4c6"/>
    <ds:schemaRef ds:uri="440cd060-9f12-415d-ac22-a3d0bcae564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62EB46-7CF7-46F5-BF7B-889E205BE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ac22f-bdf3-4910-a920-c68c1243d4c6"/>
    <ds:schemaRef ds:uri="440cd060-9f12-415d-ac22-a3d0bcae5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eeb91-d2b7-410c-a142-739340bc5b89}" enabled="1" method="Standard" siteId="{ee75c49c-c1cb-49e2-b55d-6b0f8e02208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Historical Data (2005-11)</vt:lpstr>
      <vt:lpstr>Historical Data (2012-14)</vt:lpstr>
      <vt:lpstr>Adj Hist Data (2012-14)</vt:lpstr>
      <vt:lpstr>Cont Ops (2015-</vt:lpstr>
      <vt:lpstr>Adj Cont Ops (2015-</vt:lpstr>
      <vt:lpstr>'Adj Cont Ops (2015-'!Print_Area</vt:lpstr>
      <vt:lpstr>'Cont Ops (2015-'!Print_Area</vt:lpstr>
      <vt:lpstr>'Historical Data (2005-11)'!Print_Area</vt:lpstr>
      <vt:lpstr>'Historical Data (2012-14)'!Print_Area</vt:lpstr>
      <vt:lpstr>'Adj Cont Ops (2015-'!Print_Titles</vt:lpstr>
      <vt:lpstr>'Adj Hist Data (2012-14)'!Print_Titles</vt:lpstr>
      <vt:lpstr>'Cont Ops (2015-'!Print_Titles</vt:lpstr>
      <vt:lpstr>'Historical Data (2012-14)'!Print_Titles</vt:lpstr>
    </vt:vector>
  </TitlesOfParts>
  <Manager/>
  <Company>Leggett &amp; Platt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DeSonier</dc:creator>
  <cp:keywords/>
  <dc:description/>
  <cp:lastModifiedBy>Katelyn Pierce</cp:lastModifiedBy>
  <cp:revision/>
  <dcterms:created xsi:type="dcterms:W3CDTF">2000-07-20T19:16:15Z</dcterms:created>
  <dcterms:modified xsi:type="dcterms:W3CDTF">2026-02-19T20:52:50Z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{DC544AE8-8C63-43AE-9FCD-7896503F1F20}</vt:lpwstr>
  </property>
  <property fmtid="{D5CDD505-2E9C-101B-9397-08002B2CF9AE}" pid="5" name="MSIP_Label_f60eeb91-d2b7-410c-a142-739340bc5b89_Enabled">
    <vt:lpwstr>true</vt:lpwstr>
  </property>
  <property fmtid="{D5CDD505-2E9C-101B-9397-08002B2CF9AE}" pid="6" name="MSIP_Label_f60eeb91-d2b7-410c-a142-739340bc5b89_SetDate">
    <vt:lpwstr>2023-07-28T20:34:04Z</vt:lpwstr>
  </property>
  <property fmtid="{D5CDD505-2E9C-101B-9397-08002B2CF9AE}" pid="7" name="MSIP_Label_f60eeb91-d2b7-410c-a142-739340bc5b89_Method">
    <vt:lpwstr>Standard</vt:lpwstr>
  </property>
  <property fmtid="{D5CDD505-2E9C-101B-9397-08002B2CF9AE}" pid="8" name="MSIP_Label_f60eeb91-d2b7-410c-a142-739340bc5b89_Name">
    <vt:lpwstr>Public</vt:lpwstr>
  </property>
  <property fmtid="{D5CDD505-2E9C-101B-9397-08002B2CF9AE}" pid="9" name="MSIP_Label_f60eeb91-d2b7-410c-a142-739340bc5b89_SiteId">
    <vt:lpwstr>ee75c49c-c1cb-49e2-b55d-6b0f8e02208a</vt:lpwstr>
  </property>
  <property fmtid="{D5CDD505-2E9C-101B-9397-08002B2CF9AE}" pid="10" name="MSIP_Label_f60eeb91-d2b7-410c-a142-739340bc5b89_ActionId">
    <vt:lpwstr>7f6875f0-1f1d-4a61-9909-9953d0098f3d</vt:lpwstr>
  </property>
  <property fmtid="{D5CDD505-2E9C-101B-9397-08002B2CF9AE}" pid="11" name="MSIP_Label_f60eeb91-d2b7-410c-a142-739340bc5b89_ContentBits">
    <vt:lpwstr>0</vt:lpwstr>
  </property>
  <property fmtid="{D5CDD505-2E9C-101B-9397-08002B2CF9AE}" pid="12" name="ContentTypeId">
    <vt:lpwstr>0x010100ED5E1B22DB754A4FB95E693AACBF0552</vt:lpwstr>
  </property>
</Properties>
</file>