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Y:\Fact Books\Fact Books-2026\Fact Book 2026-Mar\7) Financials\"/>
    </mc:Choice>
  </mc:AlternateContent>
  <xr:revisionPtr revIDLastSave="0" documentId="13_ncr:1_{780ECBF7-F39C-406A-A467-86EC1A831254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Income - Historical" sheetId="16" r:id="rId1"/>
    <sheet name="Income - Continuing Ops" sheetId="12" r:id="rId2"/>
    <sheet name="Cash Flow" sheetId="14" r:id="rId3"/>
    <sheet name="Cash Flow (2)" sheetId="21" r:id="rId4"/>
    <sheet name="Balance Sheet - Historical" sheetId="13" r:id="rId5"/>
    <sheet name="Balance Sheet - Continuing Ops" sheetId="22" r:id="rId6"/>
    <sheet name="Growth Rates - Historical" sheetId="10" r:id="rId7"/>
    <sheet name="Growth Rates - Continuing Ops" sheetId="20" r:id="rId8"/>
    <sheet name="Ratios - Historical" sheetId="11" r:id="rId9"/>
    <sheet name="Ratios - Continuing Ops" sheetId="19" r:id="rId10"/>
    <sheet name="Foreign" sheetId="15" r:id="rId11"/>
    <sheet name="Appendix Non-GAAP Adj 2006-2020" sheetId="17" r:id="rId12"/>
    <sheet name="Appendix Non-GAAP Adj 2021-" sheetId="18" r:id="rId13"/>
  </sheets>
  <definedNames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39505.4014814815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_xlnm.Print_Area" localSheetId="12">'Appendix Non-GAAP Adj 2021-'!$A$1:$N$40</definedName>
    <definedName name="_xlnm.Print_Area" localSheetId="5">'Balance Sheet - Continuing Ops'!$A$1:$X$43</definedName>
    <definedName name="_xlnm.Print_Area" localSheetId="4">'Balance Sheet - Historical'!$A$1:$X$54</definedName>
    <definedName name="_xlnm.Print_Area" localSheetId="2">'Cash Flow'!$A$2:$Q$63</definedName>
    <definedName name="_xlnm.Print_Area" localSheetId="3">'Cash Flow (2)'!$A$2:$Q$24</definedName>
    <definedName name="_xlnm.Print_Area" localSheetId="10">Foreign!$A$1:$V$31</definedName>
    <definedName name="_xlnm.Print_Area" localSheetId="7">'Growth Rates - Continuing Ops'!$A$1:$AA$48</definedName>
    <definedName name="_xlnm.Print_Area" localSheetId="6">'Growth Rates - Historical'!$A$1:$AA$51</definedName>
    <definedName name="_xlnm.Print_Area" localSheetId="1">'Income - Continuing Ops'!$A$1:$Z$74</definedName>
    <definedName name="_xlnm.Print_Area" localSheetId="9">'Ratios - Continuing Ops'!$A$1:$W$52</definedName>
    <definedName name="_xlnm.Print_Area" localSheetId="8">'Ratios - Historical'!$A$1:$W$62</definedName>
    <definedName name="_xlnm.Print_Titles" localSheetId="5">'Balance Sheet - Continuing Ops'!$1:$7</definedName>
    <definedName name="_xlnm.Print_Titles" localSheetId="4">'Balance Sheet - Historical'!$1:$7</definedName>
    <definedName name="_xlnm.Print_Titles" localSheetId="2">'Cash Flow'!$2:$9</definedName>
    <definedName name="_xlnm.Print_Titles" localSheetId="3">'Cash Flow (2)'!$2:$9</definedName>
    <definedName name="_xlnm.Print_Titles" localSheetId="7">'Growth Rates - Continuing Ops'!$1:$11</definedName>
    <definedName name="_xlnm.Print_Titles" localSheetId="6">'Growth Rates - Historical'!$1:$6</definedName>
    <definedName name="_xlnm.Print_Titles" localSheetId="9">'Ratios - Continuing Ops'!$1:$8</definedName>
    <definedName name="_xlnm.Print_Titles" localSheetId="8">'Ratios - Historical'!$1:$8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8" l="1"/>
  <c r="D19" i="18" s="1"/>
  <c r="C16" i="18"/>
  <c r="C19" i="18" s="1"/>
  <c r="G13" i="18"/>
  <c r="G16" i="18" s="1"/>
  <c r="G19" i="18" s="1"/>
  <c r="F13" i="18"/>
  <c r="F16" i="18" s="1"/>
  <c r="F19" i="18" s="1"/>
  <c r="E13" i="18"/>
  <c r="E16" i="18" s="1"/>
  <c r="E19" i="18" s="1"/>
  <c r="D13" i="18"/>
  <c r="C13" i="18"/>
  <c r="E5" i="18"/>
  <c r="T7" i="20"/>
  <c r="F38" i="20"/>
  <c r="Z7" i="20"/>
  <c r="Y7" i="20"/>
  <c r="W7" i="20"/>
  <c r="V7" i="20"/>
  <c r="S7" i="20"/>
  <c r="Q7" i="20"/>
  <c r="P7" i="20"/>
  <c r="N7" i="20"/>
  <c r="M7" i="20"/>
  <c r="K7" i="20"/>
  <c r="J7" i="20"/>
  <c r="H7" i="20"/>
  <c r="G7" i="20"/>
  <c r="R34" i="12"/>
  <c r="X34" i="12"/>
  <c r="E34" i="12"/>
  <c r="F34" i="12" s="1"/>
  <c r="P34" i="12" l="1"/>
  <c r="J34" i="12"/>
  <c r="Q34" i="12" l="1"/>
  <c r="W34" i="12" s="1"/>
  <c r="L34" i="12"/>
  <c r="N34" i="12" s="1"/>
  <c r="R26" i="12" l="1"/>
  <c r="R27" i="12"/>
  <c r="R28" i="12"/>
  <c r="R29" i="12"/>
  <c r="R30" i="12"/>
  <c r="R31" i="12"/>
  <c r="R32" i="12"/>
  <c r="R33" i="12"/>
  <c r="R25" i="12"/>
  <c r="V18" i="15" l="1"/>
  <c r="V17" i="15"/>
  <c r="V16" i="15"/>
  <c r="V12" i="15"/>
  <c r="B21" i="15"/>
  <c r="B13" i="15" s="1"/>
  <c r="B15" i="15"/>
  <c r="B14" i="15"/>
  <c r="W32" i="19"/>
  <c r="M32" i="19" s="1"/>
  <c r="V32" i="19"/>
  <c r="U32" i="19"/>
  <c r="T32" i="19"/>
  <c r="Q32" i="19"/>
  <c r="O32" i="19"/>
  <c r="J32" i="19"/>
  <c r="I32" i="19"/>
  <c r="G32" i="19"/>
  <c r="E32" i="19"/>
  <c r="C32" i="19"/>
  <c r="B32" i="19"/>
  <c r="Z38" i="20"/>
  <c r="Y38" i="20"/>
  <c r="W38" i="20"/>
  <c r="V38" i="20"/>
  <c r="U38" i="20"/>
  <c r="T38" i="20"/>
  <c r="S38" i="20"/>
  <c r="I38" i="20"/>
  <c r="H38" i="20"/>
  <c r="G38" i="20"/>
  <c r="C38" i="20"/>
  <c r="B38" i="20"/>
  <c r="T30" i="22"/>
  <c r="W30" i="22" s="1"/>
  <c r="Q30" i="22"/>
  <c r="L30" i="22"/>
  <c r="E30" i="22"/>
  <c r="G30" i="22" s="1"/>
  <c r="R62" i="12"/>
  <c r="X62" i="12" s="1"/>
  <c r="O19" i="21"/>
  <c r="Q19" i="21" s="1"/>
  <c r="N19" i="21"/>
  <c r="P62" i="12"/>
  <c r="J62" i="12"/>
  <c r="Q62" i="12" s="1"/>
  <c r="W62" i="12" s="1"/>
  <c r="P32" i="19" s="1"/>
  <c r="B19" i="15" l="1"/>
  <c r="N32" i="19"/>
  <c r="B20" i="15"/>
  <c r="P30" i="22"/>
  <c r="U30" i="22"/>
  <c r="P19" i="21"/>
  <c r="L62" i="12"/>
  <c r="N62" i="12" s="1"/>
  <c r="D32" i="19" l="1"/>
  <c r="F32" i="19" s="1"/>
  <c r="H32" i="19" s="1"/>
  <c r="D38" i="20"/>
  <c r="V30" i="22"/>
  <c r="R30" i="22"/>
  <c r="X30" i="22" l="1"/>
  <c r="S30" i="22"/>
  <c r="Q22" i="19" l="1"/>
  <c r="Q23" i="19"/>
  <c r="C16" i="19"/>
  <c r="C17" i="19"/>
  <c r="C19" i="19"/>
  <c r="C20" i="19"/>
  <c r="C21" i="19"/>
  <c r="C23" i="19"/>
  <c r="C28" i="19"/>
  <c r="C29" i="19"/>
  <c r="C30" i="19"/>
  <c r="C31" i="19"/>
  <c r="C13" i="19"/>
  <c r="B19" i="19"/>
  <c r="B23" i="19"/>
  <c r="B24" i="19"/>
  <c r="B27" i="19"/>
  <c r="U31" i="20"/>
  <c r="U32" i="20"/>
  <c r="U36" i="20"/>
  <c r="U37" i="20"/>
  <c r="U29" i="20"/>
  <c r="T32" i="20"/>
  <c r="T33" i="20"/>
  <c r="S31" i="20"/>
  <c r="S32" i="20"/>
  <c r="S33" i="20"/>
  <c r="R55" i="12"/>
  <c r="R56" i="12"/>
  <c r="R57" i="12"/>
  <c r="R53" i="12"/>
  <c r="Q29" i="22"/>
  <c r="L29" i="22"/>
  <c r="E29" i="22"/>
  <c r="Q28" i="22"/>
  <c r="L28" i="22"/>
  <c r="E28" i="22"/>
  <c r="T28" i="22" s="1"/>
  <c r="Q27" i="22"/>
  <c r="L27" i="22"/>
  <c r="E27" i="22"/>
  <c r="B29" i="19" s="1"/>
  <c r="Q26" i="22"/>
  <c r="L26" i="22"/>
  <c r="E26" i="22"/>
  <c r="Q25" i="22"/>
  <c r="L25" i="22"/>
  <c r="E25" i="22"/>
  <c r="T25" i="22" s="1"/>
  <c r="Q24" i="22"/>
  <c r="L24" i="22"/>
  <c r="E24" i="22"/>
  <c r="T24" i="22" s="1"/>
  <c r="Q23" i="22"/>
  <c r="L23" i="22"/>
  <c r="Q25" i="19" s="1"/>
  <c r="E23" i="22"/>
  <c r="G23" i="22" s="1"/>
  <c r="Q22" i="22"/>
  <c r="L22" i="22"/>
  <c r="Q24" i="19" s="1"/>
  <c r="E22" i="22"/>
  <c r="G22" i="22" s="1"/>
  <c r="Q21" i="22"/>
  <c r="L21" i="22"/>
  <c r="E21" i="22"/>
  <c r="G21" i="22" s="1"/>
  <c r="Q20" i="22"/>
  <c r="L20" i="22"/>
  <c r="E20" i="22"/>
  <c r="G20" i="22" s="1"/>
  <c r="Q19" i="22"/>
  <c r="K19" i="22"/>
  <c r="L19" i="22" s="1"/>
  <c r="E19" i="22"/>
  <c r="B21" i="19" s="1"/>
  <c r="Q18" i="22"/>
  <c r="L18" i="22"/>
  <c r="E18" i="22"/>
  <c r="B20" i="19" s="1"/>
  <c r="Q17" i="22"/>
  <c r="L17" i="22"/>
  <c r="E17" i="22"/>
  <c r="Q16" i="22"/>
  <c r="L16" i="22"/>
  <c r="E16" i="22"/>
  <c r="B18" i="19" s="1"/>
  <c r="Q15" i="22"/>
  <c r="O15" i="22"/>
  <c r="K15" i="22"/>
  <c r="L15" i="22" s="1"/>
  <c r="Q17" i="19" s="1"/>
  <c r="E15" i="22"/>
  <c r="G15" i="22" s="1"/>
  <c r="Q14" i="22"/>
  <c r="L14" i="22"/>
  <c r="Q16" i="19" s="1"/>
  <c r="E14" i="22"/>
  <c r="G14" i="22" s="1"/>
  <c r="Q13" i="22"/>
  <c r="K13" i="22"/>
  <c r="L13" i="22" s="1"/>
  <c r="Q15" i="19" s="1"/>
  <c r="E13" i="22"/>
  <c r="G13" i="22" s="1"/>
  <c r="O12" i="22"/>
  <c r="M12" i="22"/>
  <c r="K12" i="22"/>
  <c r="I12" i="22"/>
  <c r="H12" i="22"/>
  <c r="F12" i="22"/>
  <c r="D12" i="22"/>
  <c r="C12" i="22"/>
  <c r="E12" i="22" s="1"/>
  <c r="O11" i="22"/>
  <c r="M11" i="22"/>
  <c r="K11" i="22"/>
  <c r="I11" i="22"/>
  <c r="H11" i="22"/>
  <c r="F11" i="22"/>
  <c r="D11" i="22"/>
  <c r="C11" i="22"/>
  <c r="E11" i="22" s="1"/>
  <c r="O10" i="22"/>
  <c r="M10" i="22"/>
  <c r="K10" i="22"/>
  <c r="I10" i="22"/>
  <c r="H10" i="22"/>
  <c r="L10" i="22" s="1"/>
  <c r="F10" i="22"/>
  <c r="D10" i="22"/>
  <c r="C10" i="22"/>
  <c r="O18" i="21"/>
  <c r="Q18" i="21" s="1"/>
  <c r="M18" i="21"/>
  <c r="N18" i="21" s="1"/>
  <c r="O17" i="21"/>
  <c r="P17" i="21" s="1"/>
  <c r="N17" i="21"/>
  <c r="O16" i="21"/>
  <c r="Q16" i="21" s="1"/>
  <c r="M16" i="21"/>
  <c r="N16" i="21" s="1"/>
  <c r="O15" i="21"/>
  <c r="Q15" i="21" s="1"/>
  <c r="M15" i="21"/>
  <c r="N15" i="21" s="1"/>
  <c r="O14" i="21"/>
  <c r="P14" i="21" s="1"/>
  <c r="N14" i="21"/>
  <c r="O13" i="21"/>
  <c r="P13" i="21" s="1"/>
  <c r="N13" i="21"/>
  <c r="O12" i="21"/>
  <c r="Q12" i="21" s="1"/>
  <c r="M12" i="21"/>
  <c r="N12" i="21" s="1"/>
  <c r="O11" i="21"/>
  <c r="P11" i="21" s="1"/>
  <c r="M11" i="21"/>
  <c r="I11" i="21"/>
  <c r="O10" i="21"/>
  <c r="Q10" i="21" s="1"/>
  <c r="M10" i="21"/>
  <c r="I10" i="21"/>
  <c r="Z37" i="20"/>
  <c r="Y37" i="20"/>
  <c r="W37" i="20"/>
  <c r="V37" i="20"/>
  <c r="I37" i="20"/>
  <c r="H37" i="20"/>
  <c r="G37" i="20"/>
  <c r="B37" i="20"/>
  <c r="Y36" i="20"/>
  <c r="V36" i="20"/>
  <c r="I36" i="20"/>
  <c r="H36" i="20"/>
  <c r="G36" i="20"/>
  <c r="B36" i="20"/>
  <c r="Y35" i="20"/>
  <c r="V35" i="20"/>
  <c r="I35" i="20"/>
  <c r="H35" i="20"/>
  <c r="G35" i="20"/>
  <c r="F35" i="20" s="1"/>
  <c r="B35" i="20"/>
  <c r="Y34" i="20"/>
  <c r="V34" i="20"/>
  <c r="I34" i="20"/>
  <c r="H34" i="20"/>
  <c r="G34" i="20"/>
  <c r="F34" i="20" s="1"/>
  <c r="B34" i="20"/>
  <c r="Y33" i="20"/>
  <c r="V33" i="20"/>
  <c r="I33" i="20"/>
  <c r="H33" i="20"/>
  <c r="G33" i="20"/>
  <c r="F33" i="20" s="1"/>
  <c r="I32" i="20"/>
  <c r="H32" i="20"/>
  <c r="G32" i="20"/>
  <c r="F32" i="20" s="1"/>
  <c r="H31" i="20"/>
  <c r="G31" i="20"/>
  <c r="F31" i="20" s="1"/>
  <c r="H30" i="20"/>
  <c r="G30" i="20"/>
  <c r="F30" i="20" s="1"/>
  <c r="H29" i="20"/>
  <c r="G29" i="20"/>
  <c r="F29" i="20" s="1"/>
  <c r="B29" i="20"/>
  <c r="H28" i="20"/>
  <c r="G28" i="20"/>
  <c r="F28" i="20" s="1"/>
  <c r="H27" i="20"/>
  <c r="G27" i="20"/>
  <c r="F27" i="20" s="1"/>
  <c r="B27" i="20"/>
  <c r="G26" i="20"/>
  <c r="F26" i="20" s="1"/>
  <c r="B26" i="20"/>
  <c r="G25" i="20"/>
  <c r="F25" i="20"/>
  <c r="B25" i="20"/>
  <c r="G24" i="20"/>
  <c r="F24" i="20" s="1"/>
  <c r="G23" i="20"/>
  <c r="F23" i="20" s="1"/>
  <c r="B23" i="20"/>
  <c r="B22" i="20"/>
  <c r="H21" i="20"/>
  <c r="G21" i="20"/>
  <c r="F21" i="20" s="1"/>
  <c r="G20" i="20"/>
  <c r="F20" i="20" s="1"/>
  <c r="W19" i="20"/>
  <c r="G19" i="20"/>
  <c r="F19" i="20" s="1"/>
  <c r="B19" i="20"/>
  <c r="Z18" i="20"/>
  <c r="W18" i="20"/>
  <c r="G18" i="20"/>
  <c r="Z17" i="20"/>
  <c r="W17" i="20"/>
  <c r="G17" i="20"/>
  <c r="B17" i="20"/>
  <c r="Z16" i="20"/>
  <c r="W16" i="20"/>
  <c r="B16" i="20"/>
  <c r="Z15" i="20"/>
  <c r="W15" i="20"/>
  <c r="O31" i="19"/>
  <c r="J31" i="19"/>
  <c r="I31" i="19"/>
  <c r="O30" i="19"/>
  <c r="J30" i="19"/>
  <c r="I30" i="19"/>
  <c r="O29" i="19"/>
  <c r="J29" i="19"/>
  <c r="I29" i="19"/>
  <c r="O28" i="19"/>
  <c r="I28" i="19"/>
  <c r="O27" i="19"/>
  <c r="I27" i="19"/>
  <c r="O26" i="19"/>
  <c r="Q30" i="19" l="1"/>
  <c r="Q28" i="19"/>
  <c r="Q21" i="19"/>
  <c r="G18" i="22"/>
  <c r="Q20" i="19" s="1"/>
  <c r="B26" i="19"/>
  <c r="B25" i="19"/>
  <c r="B22" i="19"/>
  <c r="T29" i="22"/>
  <c r="Q10" i="22"/>
  <c r="Q12" i="22"/>
  <c r="B31" i="19"/>
  <c r="B17" i="19"/>
  <c r="T26" i="22"/>
  <c r="B30" i="19"/>
  <c r="B16" i="19"/>
  <c r="B15" i="19"/>
  <c r="B28" i="19"/>
  <c r="U35" i="20"/>
  <c r="U34" i="20"/>
  <c r="R54" i="12"/>
  <c r="T29" i="20"/>
  <c r="U33" i="20"/>
  <c r="R59" i="12"/>
  <c r="T31" i="20"/>
  <c r="U30" i="20"/>
  <c r="S35" i="20"/>
  <c r="R58" i="12"/>
  <c r="T30" i="20"/>
  <c r="P10" i="21"/>
  <c r="R61" i="12"/>
  <c r="S29" i="20"/>
  <c r="T34" i="20"/>
  <c r="S30" i="20"/>
  <c r="T37" i="20"/>
  <c r="S34" i="20"/>
  <c r="S37" i="20"/>
  <c r="T36" i="20"/>
  <c r="R60" i="12"/>
  <c r="S36" i="20"/>
  <c r="T35" i="20"/>
  <c r="L12" i="22"/>
  <c r="Q14" i="19" s="1"/>
  <c r="E10" i="22"/>
  <c r="L11" i="22"/>
  <c r="T17" i="22"/>
  <c r="W17" i="22" s="1"/>
  <c r="T18" i="22"/>
  <c r="W18" i="22" s="1"/>
  <c r="G11" i="22"/>
  <c r="T16" i="22"/>
  <c r="T19" i="22"/>
  <c r="G16" i="22"/>
  <c r="G19" i="22"/>
  <c r="T27" i="22"/>
  <c r="G17" i="22"/>
  <c r="Q19" i="19" s="1"/>
  <c r="W26" i="22"/>
  <c r="P13" i="22"/>
  <c r="P20" i="22"/>
  <c r="U23" i="22"/>
  <c r="P23" i="22"/>
  <c r="T10" i="22"/>
  <c r="U22" i="22"/>
  <c r="P22" i="22"/>
  <c r="G12" i="22"/>
  <c r="U13" i="22" s="1"/>
  <c r="U14" i="22"/>
  <c r="P14" i="22"/>
  <c r="U15" i="22"/>
  <c r="P15" i="22"/>
  <c r="R15" i="22" s="1"/>
  <c r="U21" i="22"/>
  <c r="P21" i="22"/>
  <c r="W25" i="22"/>
  <c r="W29" i="22"/>
  <c r="G29" i="22"/>
  <c r="Q31" i="19" s="1"/>
  <c r="P18" i="22"/>
  <c r="G28" i="22"/>
  <c r="G27" i="22"/>
  <c r="Q29" i="19" s="1"/>
  <c r="Q11" i="22"/>
  <c r="T13" i="22"/>
  <c r="T14" i="22"/>
  <c r="G26" i="22"/>
  <c r="G24" i="22"/>
  <c r="Q26" i="19" s="1"/>
  <c r="T15" i="22"/>
  <c r="G25" i="22"/>
  <c r="Q27" i="19" s="1"/>
  <c r="T20" i="22"/>
  <c r="T21" i="22"/>
  <c r="W21" i="22" s="1"/>
  <c r="T22" i="22"/>
  <c r="T23" i="22"/>
  <c r="W24" i="22" s="1"/>
  <c r="Q14" i="21"/>
  <c r="N11" i="21"/>
  <c r="P18" i="21"/>
  <c r="P15" i="21"/>
  <c r="Q11" i="21"/>
  <c r="N10" i="21"/>
  <c r="P16" i="21"/>
  <c r="Q13" i="21"/>
  <c r="Q17" i="21"/>
  <c r="P12" i="21"/>
  <c r="S17" i="19" l="1"/>
  <c r="R17" i="19"/>
  <c r="E25" i="19"/>
  <c r="E23" i="19"/>
  <c r="G10" i="22"/>
  <c r="B12" i="19"/>
  <c r="W27" i="22"/>
  <c r="U19" i="22"/>
  <c r="E16" i="19"/>
  <c r="W19" i="22"/>
  <c r="W16" i="22"/>
  <c r="Q13" i="19"/>
  <c r="B13" i="19"/>
  <c r="E17" i="19"/>
  <c r="B14" i="19"/>
  <c r="P16" i="22"/>
  <c r="Q18" i="19"/>
  <c r="T12" i="22"/>
  <c r="E15" i="19"/>
  <c r="P11" i="22"/>
  <c r="R11" i="22" s="1"/>
  <c r="S11" i="22" s="1"/>
  <c r="G24" i="19"/>
  <c r="E24" i="19"/>
  <c r="T11" i="22"/>
  <c r="W11" i="22" s="1"/>
  <c r="P19" i="22"/>
  <c r="W20" i="22"/>
  <c r="U17" i="22"/>
  <c r="U20" i="22"/>
  <c r="W28" i="22"/>
  <c r="W14" i="22"/>
  <c r="U16" i="22"/>
  <c r="P17" i="22"/>
  <c r="V18" i="22" s="1"/>
  <c r="U18" i="22"/>
  <c r="W23" i="22"/>
  <c r="R13" i="22"/>
  <c r="V14" i="22"/>
  <c r="G16" i="19" s="1"/>
  <c r="R14" i="22"/>
  <c r="X15" i="22"/>
  <c r="S15" i="22"/>
  <c r="W15" i="22"/>
  <c r="V19" i="22"/>
  <c r="R19" i="22"/>
  <c r="V21" i="22"/>
  <c r="G23" i="19" s="1"/>
  <c r="R21" i="22"/>
  <c r="P12" i="22"/>
  <c r="V13" i="22" s="1"/>
  <c r="G15" i="19" s="1"/>
  <c r="U12" i="22"/>
  <c r="U26" i="22"/>
  <c r="P26" i="22"/>
  <c r="V16" i="22"/>
  <c r="R16" i="22"/>
  <c r="U27" i="22"/>
  <c r="P27" i="22"/>
  <c r="U25" i="22"/>
  <c r="P25" i="22"/>
  <c r="V22" i="22"/>
  <c r="R22" i="22"/>
  <c r="U24" i="22"/>
  <c r="P24" i="22"/>
  <c r="V15" i="22"/>
  <c r="G17" i="19" s="1"/>
  <c r="U29" i="22"/>
  <c r="P29" i="22"/>
  <c r="U28" i="22"/>
  <c r="P28" i="22"/>
  <c r="V23" i="22"/>
  <c r="G25" i="19" s="1"/>
  <c r="R23" i="22"/>
  <c r="V20" i="22"/>
  <c r="R20" i="22"/>
  <c r="W22" i="22"/>
  <c r="R18" i="22"/>
  <c r="E28" i="19" l="1"/>
  <c r="R18" i="19"/>
  <c r="S18" i="19"/>
  <c r="W12" i="22"/>
  <c r="E26" i="19"/>
  <c r="S20" i="19"/>
  <c r="R20" i="19"/>
  <c r="E20" i="19"/>
  <c r="G20" i="19"/>
  <c r="W13" i="22"/>
  <c r="E21" i="19"/>
  <c r="G21" i="19"/>
  <c r="R22" i="19"/>
  <c r="S22" i="19"/>
  <c r="R23" i="19"/>
  <c r="S23" i="19"/>
  <c r="R17" i="22"/>
  <c r="P10" i="22"/>
  <c r="R10" i="22" s="1"/>
  <c r="Q12" i="19"/>
  <c r="R21" i="19"/>
  <c r="S21" i="19"/>
  <c r="U11" i="22"/>
  <c r="V11" i="22"/>
  <c r="G22" i="19"/>
  <c r="E22" i="19"/>
  <c r="G30" i="19"/>
  <c r="E30" i="19"/>
  <c r="E19" i="19"/>
  <c r="G19" i="19"/>
  <c r="R15" i="19"/>
  <c r="S15" i="19"/>
  <c r="R13" i="19"/>
  <c r="S13" i="19"/>
  <c r="X11" i="22"/>
  <c r="E14" i="19"/>
  <c r="R24" i="19"/>
  <c r="S24" i="19"/>
  <c r="E18" i="19"/>
  <c r="G18" i="19"/>
  <c r="V17" i="22"/>
  <c r="E27" i="19"/>
  <c r="E31" i="19"/>
  <c r="E29" i="19"/>
  <c r="R16" i="19"/>
  <c r="S16" i="19"/>
  <c r="V25" i="22"/>
  <c r="G27" i="19" s="1"/>
  <c r="R25" i="22"/>
  <c r="X21" i="22"/>
  <c r="S21" i="22"/>
  <c r="X20" i="22"/>
  <c r="S20" i="22"/>
  <c r="X19" i="22"/>
  <c r="S19" i="22"/>
  <c r="X22" i="22"/>
  <c r="S22" i="22"/>
  <c r="V26" i="22"/>
  <c r="G28" i="19" s="1"/>
  <c r="R26" i="22"/>
  <c r="V24" i="22"/>
  <c r="G26" i="19" s="1"/>
  <c r="R24" i="22"/>
  <c r="V12" i="22"/>
  <c r="G14" i="19" s="1"/>
  <c r="R12" i="22"/>
  <c r="V27" i="22"/>
  <c r="G29" i="19" s="1"/>
  <c r="R27" i="22"/>
  <c r="X23" i="22"/>
  <c r="S23" i="22"/>
  <c r="X16" i="22"/>
  <c r="S16" i="22"/>
  <c r="X17" i="22"/>
  <c r="S17" i="22"/>
  <c r="V28" i="22"/>
  <c r="R28" i="22"/>
  <c r="V29" i="22"/>
  <c r="G31" i="19" s="1"/>
  <c r="R29" i="22"/>
  <c r="X14" i="22"/>
  <c r="S14" i="22"/>
  <c r="X18" i="22"/>
  <c r="S18" i="22"/>
  <c r="S13" i="22"/>
  <c r="R19" i="19" l="1"/>
  <c r="S19" i="19"/>
  <c r="X13" i="22"/>
  <c r="S14" i="19"/>
  <c r="R14" i="19"/>
  <c r="E13" i="19"/>
  <c r="G13" i="19"/>
  <c r="S10" i="22"/>
  <c r="R12" i="19"/>
  <c r="S12" i="19"/>
  <c r="X26" i="22"/>
  <c r="S26" i="22"/>
  <c r="X28" i="22"/>
  <c r="S28" i="22"/>
  <c r="X27" i="22"/>
  <c r="S27" i="22"/>
  <c r="X29" i="22"/>
  <c r="S29" i="22"/>
  <c r="X12" i="22"/>
  <c r="S12" i="22"/>
  <c r="X24" i="22"/>
  <c r="S24" i="22"/>
  <c r="X25" i="22"/>
  <c r="S25" i="22"/>
  <c r="C15" i="15" l="1"/>
  <c r="C19" i="15" s="1"/>
  <c r="C21" i="15" l="1"/>
  <c r="C14" i="15"/>
  <c r="X61" i="12"/>
  <c r="F61" i="12"/>
  <c r="J38" i="20" s="1"/>
  <c r="F33" i="12"/>
  <c r="J33" i="12" s="1"/>
  <c r="Q18" i="17"/>
  <c r="P18" i="17"/>
  <c r="P21" i="17" s="1"/>
  <c r="P24" i="17" s="1"/>
  <c r="M18" i="17"/>
  <c r="M21" i="17" s="1"/>
  <c r="M24" i="17" s="1"/>
  <c r="L18" i="17"/>
  <c r="L21" i="17" s="1"/>
  <c r="K18" i="17"/>
  <c r="K21" i="17" s="1"/>
  <c r="K24" i="17" s="1"/>
  <c r="J18" i="17"/>
  <c r="J21" i="17" s="1"/>
  <c r="I18" i="17"/>
  <c r="I21" i="17" s="1"/>
  <c r="I24" i="17" s="1"/>
  <c r="H18" i="17"/>
  <c r="H21" i="17" s="1"/>
  <c r="H24" i="17" s="1"/>
  <c r="G18" i="17"/>
  <c r="G21" i="17" s="1"/>
  <c r="G24" i="17" s="1"/>
  <c r="F18" i="17"/>
  <c r="F21" i="17" s="1"/>
  <c r="F24" i="17" s="1"/>
  <c r="E18" i="17"/>
  <c r="E21" i="17" s="1"/>
  <c r="E24" i="17" s="1"/>
  <c r="D18" i="17"/>
  <c r="D21" i="17" s="1"/>
  <c r="D24" i="17" s="1"/>
  <c r="C18" i="17"/>
  <c r="C21" i="17" s="1"/>
  <c r="C24" i="17" s="1"/>
  <c r="F32" i="12"/>
  <c r="J32" i="12" s="1"/>
  <c r="Q32" i="12" s="1"/>
  <c r="F31" i="12"/>
  <c r="J31" i="12" s="1"/>
  <c r="Q21" i="17"/>
  <c r="Q24" i="17" s="1"/>
  <c r="N20" i="17"/>
  <c r="O15" i="17"/>
  <c r="N5" i="17"/>
  <c r="C37" i="20" l="1"/>
  <c r="V31" i="19"/>
  <c r="P33" i="12"/>
  <c r="J61" i="12"/>
  <c r="C13" i="15"/>
  <c r="C20" i="15"/>
  <c r="Q33" i="12"/>
  <c r="W33" i="12" s="1"/>
  <c r="L33" i="12"/>
  <c r="N33" i="12" s="1"/>
  <c r="P61" i="12"/>
  <c r="X33" i="12"/>
  <c r="N18" i="17"/>
  <c r="N21" i="17" s="1"/>
  <c r="O18" i="17"/>
  <c r="O21" i="17" s="1"/>
  <c r="O24" i="17" s="1"/>
  <c r="L31" i="12"/>
  <c r="N31" i="12" s="1"/>
  <c r="Q31" i="12"/>
  <c r="W31" i="12" s="1"/>
  <c r="P31" i="12"/>
  <c r="L32" i="12"/>
  <c r="N32" i="12" s="1"/>
  <c r="W32" i="12"/>
  <c r="P32" i="12"/>
  <c r="W31" i="19" l="1"/>
  <c r="M31" i="19" s="1"/>
  <c r="L61" i="12"/>
  <c r="N61" i="12" s="1"/>
  <c r="M38" i="20" s="1"/>
  <c r="U31" i="19"/>
  <c r="T31" i="19"/>
  <c r="Q61" i="12"/>
  <c r="W61" i="12" s="1"/>
  <c r="P38" i="20" s="1"/>
  <c r="W60" i="12"/>
  <c r="F60" i="12"/>
  <c r="D15" i="15"/>
  <c r="E14" i="15"/>
  <c r="F14" i="15"/>
  <c r="G14" i="15"/>
  <c r="H14" i="15"/>
  <c r="I14" i="15"/>
  <c r="J14" i="15"/>
  <c r="K14" i="15"/>
  <c r="L14" i="15"/>
  <c r="M14" i="15"/>
  <c r="N14" i="15"/>
  <c r="E15" i="15"/>
  <c r="E21" i="15" s="1"/>
  <c r="E20" i="15" s="1"/>
  <c r="F15" i="15"/>
  <c r="F21" i="15" s="1"/>
  <c r="F20" i="15" s="1"/>
  <c r="G15" i="15"/>
  <c r="G21" i="15" s="1"/>
  <c r="G20" i="15" s="1"/>
  <c r="H15" i="15"/>
  <c r="H21" i="15" s="1"/>
  <c r="H20" i="15" s="1"/>
  <c r="J15" i="15"/>
  <c r="J19" i="15" s="1"/>
  <c r="L15" i="15"/>
  <c r="L21" i="15" s="1"/>
  <c r="M15" i="15"/>
  <c r="N15" i="15"/>
  <c r="N19" i="15" s="1"/>
  <c r="I19" i="15"/>
  <c r="K19" i="15"/>
  <c r="I21" i="15"/>
  <c r="I20" i="15" s="1"/>
  <c r="K21" i="15"/>
  <c r="K13" i="15" s="1"/>
  <c r="M21" i="15"/>
  <c r="N21" i="15"/>
  <c r="N20" i="15" s="1"/>
  <c r="L13" i="15" l="1"/>
  <c r="V21" i="15"/>
  <c r="L19" i="15"/>
  <c r="V15" i="15"/>
  <c r="J21" i="15"/>
  <c r="J20" i="15" s="1"/>
  <c r="F19" i="15"/>
  <c r="E19" i="15"/>
  <c r="I13" i="15"/>
  <c r="M19" i="15"/>
  <c r="M20" i="15"/>
  <c r="G19" i="15"/>
  <c r="C36" i="20"/>
  <c r="V30" i="19"/>
  <c r="J37" i="20"/>
  <c r="P60" i="12"/>
  <c r="P30" i="19"/>
  <c r="N30" i="19"/>
  <c r="N31" i="19"/>
  <c r="P37" i="20"/>
  <c r="P31" i="19"/>
  <c r="D31" i="19"/>
  <c r="F31" i="19" s="1"/>
  <c r="H31" i="19" s="1"/>
  <c r="D37" i="20"/>
  <c r="N13" i="15"/>
  <c r="M13" i="15"/>
  <c r="E13" i="15"/>
  <c r="X32" i="12"/>
  <c r="X60" i="12"/>
  <c r="J60" i="12"/>
  <c r="J13" i="15"/>
  <c r="H13" i="15"/>
  <c r="G13" i="15"/>
  <c r="F13" i="15"/>
  <c r="H19" i="15"/>
  <c r="K20" i="15"/>
  <c r="L20" i="15"/>
  <c r="U30" i="19" l="1"/>
  <c r="T30" i="19"/>
  <c r="L60" i="12"/>
  <c r="N60" i="12" s="1"/>
  <c r="W30" i="19"/>
  <c r="M30" i="19" s="1"/>
  <c r="F59" i="12"/>
  <c r="C35" i="20" l="1"/>
  <c r="V29" i="19"/>
  <c r="J36" i="20"/>
  <c r="D30" i="19"/>
  <c r="F30" i="19" s="1"/>
  <c r="H30" i="19" s="1"/>
  <c r="D36" i="20"/>
  <c r="M37" i="20"/>
  <c r="X31" i="12"/>
  <c r="X59" i="12"/>
  <c r="J59" i="12"/>
  <c r="P59" i="12"/>
  <c r="U29" i="19" l="1"/>
  <c r="T29" i="19"/>
  <c r="Q59" i="12"/>
  <c r="W29" i="19"/>
  <c r="M29" i="19" s="1"/>
  <c r="W59" i="12"/>
  <c r="L59" i="12"/>
  <c r="N59" i="12" s="1"/>
  <c r="D29" i="19" l="1"/>
  <c r="F29" i="19" s="1"/>
  <c r="H29" i="19" s="1"/>
  <c r="D35" i="20"/>
  <c r="M36" i="20"/>
  <c r="P29" i="19"/>
  <c r="N29" i="19"/>
  <c r="P36" i="20"/>
  <c r="I58" i="12"/>
  <c r="E58" i="12"/>
  <c r="F58" i="12" s="1"/>
  <c r="C34" i="20" l="1"/>
  <c r="V28" i="19"/>
  <c r="J35" i="20"/>
  <c r="P58" i="12"/>
  <c r="X58" i="12"/>
  <c r="J58" i="12"/>
  <c r="Q58" i="12" s="1"/>
  <c r="W58" i="12" s="1"/>
  <c r="N28" i="19" l="1"/>
  <c r="P28" i="19"/>
  <c r="P35" i="20"/>
  <c r="U28" i="19"/>
  <c r="T28" i="19"/>
  <c r="W28" i="19"/>
  <c r="M28" i="19" s="1"/>
  <c r="L58" i="12"/>
  <c r="N58" i="12" s="1"/>
  <c r="D28" i="19" l="1"/>
  <c r="F28" i="19" s="1"/>
  <c r="H28" i="19" s="1"/>
  <c r="D34" i="20"/>
  <c r="M35" i="20"/>
  <c r="F30" i="12"/>
  <c r="J30" i="12" s="1"/>
  <c r="Q30" i="12" l="1"/>
  <c r="W30" i="12" s="1"/>
  <c r="L30" i="12"/>
  <c r="N30" i="12" s="1"/>
  <c r="P30" i="12"/>
  <c r="X30" i="12" l="1"/>
  <c r="D52" i="12"/>
  <c r="G55" i="12" l="1"/>
  <c r="I57" i="12" l="1"/>
  <c r="E57" i="12"/>
  <c r="D57" i="12" l="1"/>
  <c r="C57" i="12"/>
  <c r="I56" i="12"/>
  <c r="E56" i="12"/>
  <c r="D56" i="12"/>
  <c r="C56" i="12"/>
  <c r="I55" i="12"/>
  <c r="E55" i="12"/>
  <c r="C55" i="12"/>
  <c r="I54" i="12"/>
  <c r="E54" i="12"/>
  <c r="D54" i="12"/>
  <c r="C54" i="12"/>
  <c r="I53" i="12"/>
  <c r="E53" i="12"/>
  <c r="D53" i="12"/>
  <c r="I52" i="12"/>
  <c r="E52" i="12"/>
  <c r="C52" i="12"/>
  <c r="C25" i="19" l="1"/>
  <c r="B31" i="20"/>
  <c r="C27" i="19"/>
  <c r="B33" i="20"/>
  <c r="C24" i="19"/>
  <c r="B30" i="20"/>
  <c r="C26" i="19"/>
  <c r="B32" i="20"/>
  <c r="C22" i="19"/>
  <c r="B28" i="20"/>
  <c r="F57" i="12"/>
  <c r="K38" i="20" s="1"/>
  <c r="F56" i="12"/>
  <c r="Z24" i="12"/>
  <c r="J33" i="20" l="1"/>
  <c r="V27" i="19"/>
  <c r="C33" i="20"/>
  <c r="J34" i="20"/>
  <c r="V26" i="19"/>
  <c r="C32" i="20"/>
  <c r="K37" i="20"/>
  <c r="F28" i="12"/>
  <c r="P28" i="12" s="1"/>
  <c r="X57" i="12" l="1"/>
  <c r="J57" i="12"/>
  <c r="W27" i="19" s="1"/>
  <c r="M27" i="19" s="1"/>
  <c r="J28" i="12"/>
  <c r="P57" i="12"/>
  <c r="U27" i="19" l="1"/>
  <c r="T27" i="19"/>
  <c r="L57" i="12"/>
  <c r="N57" i="12" s="1"/>
  <c r="N38" i="20" s="1"/>
  <c r="Q57" i="12"/>
  <c r="W57" i="12" s="1"/>
  <c r="Q38" i="20" s="1"/>
  <c r="L28" i="12"/>
  <c r="N28" i="12" s="1"/>
  <c r="Q28" i="12"/>
  <c r="W28" i="12" s="1"/>
  <c r="D14" i="15"/>
  <c r="D19" i="15"/>
  <c r="D21" i="15"/>
  <c r="P27" i="19" l="1"/>
  <c r="N27" i="19"/>
  <c r="P34" i="20"/>
  <c r="D27" i="19"/>
  <c r="F27" i="19" s="1"/>
  <c r="H27" i="19" s="1"/>
  <c r="D33" i="20"/>
  <c r="M34" i="20"/>
  <c r="D13" i="15"/>
  <c r="D20" i="15"/>
  <c r="X29" i="12" l="1"/>
  <c r="X56" i="12" l="1"/>
  <c r="P56" i="12" l="1"/>
  <c r="J56" i="12"/>
  <c r="W26" i="19" s="1"/>
  <c r="M26" i="19" s="1"/>
  <c r="F29" i="12"/>
  <c r="P29" i="12" s="1"/>
  <c r="T26" i="19" l="1"/>
  <c r="U26" i="19"/>
  <c r="J29" i="12"/>
  <c r="Q29" i="12" s="1"/>
  <c r="L56" i="12"/>
  <c r="N56" i="12" s="1"/>
  <c r="Q56" i="12"/>
  <c r="W56" i="12" s="1"/>
  <c r="P26" i="19" l="1"/>
  <c r="N26" i="19"/>
  <c r="Q37" i="20"/>
  <c r="P33" i="20"/>
  <c r="D32" i="20"/>
  <c r="D26" i="19"/>
  <c r="F26" i="19" s="1"/>
  <c r="H26" i="19" s="1"/>
  <c r="N37" i="20"/>
  <c r="M33" i="20"/>
  <c r="L29" i="12"/>
  <c r="N29" i="12" s="1"/>
  <c r="W29" i="12"/>
  <c r="I47" i="10"/>
  <c r="X28" i="12" l="1"/>
  <c r="Z55" i="12" l="1"/>
  <c r="Y55" i="12"/>
  <c r="X55" i="12"/>
  <c r="F55" i="12"/>
  <c r="Z27" i="12"/>
  <c r="Y27" i="12"/>
  <c r="X27" i="12"/>
  <c r="F27" i="12"/>
  <c r="W36" i="20" l="1"/>
  <c r="V32" i="20"/>
  <c r="O25" i="19"/>
  <c r="V25" i="19"/>
  <c r="L25" i="19"/>
  <c r="C31" i="20"/>
  <c r="K36" i="20"/>
  <c r="J32" i="20"/>
  <c r="Y32" i="20"/>
  <c r="J28" i="19"/>
  <c r="I26" i="19"/>
  <c r="Z36" i="20"/>
  <c r="P55" i="12"/>
  <c r="J55" i="12"/>
  <c r="W25" i="19" s="1"/>
  <c r="M25" i="19" s="1"/>
  <c r="P27" i="12"/>
  <c r="J27" i="12"/>
  <c r="Q27" i="12" s="1"/>
  <c r="T25" i="19" l="1"/>
  <c r="U25" i="19"/>
  <c r="L55" i="12"/>
  <c r="N55" i="12" s="1"/>
  <c r="Q55" i="12"/>
  <c r="W55" i="12" s="1"/>
  <c r="L27" i="12"/>
  <c r="N27" i="12" s="1"/>
  <c r="W27" i="12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18" i="10"/>
  <c r="Q36" i="20" l="1"/>
  <c r="P32" i="20"/>
  <c r="P25" i="19"/>
  <c r="N25" i="19"/>
  <c r="D25" i="19"/>
  <c r="F25" i="19" s="1"/>
  <c r="H25" i="19" s="1"/>
  <c r="K25" i="19"/>
  <c r="D31" i="20"/>
  <c r="N36" i="20"/>
  <c r="M32" i="20"/>
  <c r="F54" i="12"/>
  <c r="Z54" i="12"/>
  <c r="Y54" i="12"/>
  <c r="O24" i="19" l="1"/>
  <c r="W35" i="20"/>
  <c r="V31" i="20"/>
  <c r="C30" i="20"/>
  <c r="L24" i="19"/>
  <c r="V24" i="19"/>
  <c r="K35" i="20"/>
  <c r="J31" i="20"/>
  <c r="Z35" i="20"/>
  <c r="J27" i="19"/>
  <c r="Y31" i="20"/>
  <c r="I25" i="19"/>
  <c r="X54" i="12"/>
  <c r="X26" i="12"/>
  <c r="J54" i="12"/>
  <c r="W24" i="19" s="1"/>
  <c r="M24" i="19" s="1"/>
  <c r="P54" i="12"/>
  <c r="U24" i="19" l="1"/>
  <c r="T24" i="19"/>
  <c r="Q54" i="12"/>
  <c r="W54" i="12" s="1"/>
  <c r="L54" i="12"/>
  <c r="N54" i="12" s="1"/>
  <c r="D30" i="20" l="1"/>
  <c r="K24" i="19"/>
  <c r="D24" i="19"/>
  <c r="F24" i="19" s="1"/>
  <c r="H24" i="19" s="1"/>
  <c r="N35" i="20"/>
  <c r="M31" i="20"/>
  <c r="Q35" i="20"/>
  <c r="P31" i="20"/>
  <c r="P24" i="19"/>
  <c r="N24" i="19"/>
  <c r="Z26" i="12"/>
  <c r="Y26" i="12"/>
  <c r="F26" i="12"/>
  <c r="P26" i="12" l="1"/>
  <c r="J26" i="12"/>
  <c r="Q26" i="12" s="1"/>
  <c r="W26" i="12" l="1"/>
  <c r="L26" i="12"/>
  <c r="N26" i="12" s="1"/>
  <c r="I44" i="12" l="1"/>
  <c r="I45" i="12"/>
  <c r="Z25" i="12" l="1"/>
  <c r="Y25" i="12"/>
  <c r="F53" i="12" l="1"/>
  <c r="F25" i="12"/>
  <c r="P25" i="12" s="1"/>
  <c r="L23" i="19" l="1"/>
  <c r="C29" i="20"/>
  <c r="V23" i="19"/>
  <c r="K34" i="20"/>
  <c r="J30" i="20"/>
  <c r="J25" i="12"/>
  <c r="J53" i="12"/>
  <c r="W23" i="19" s="1"/>
  <c r="M23" i="19" s="1"/>
  <c r="P53" i="12"/>
  <c r="T23" i="19" l="1"/>
  <c r="U23" i="19"/>
  <c r="Q25" i="12"/>
  <c r="W25" i="12" s="1"/>
  <c r="L25" i="12"/>
  <c r="N25" i="12" s="1"/>
  <c r="L53" i="12"/>
  <c r="N53" i="12" s="1"/>
  <c r="Q53" i="12"/>
  <c r="W53" i="12" s="1"/>
  <c r="Q34" i="20" l="1"/>
  <c r="P30" i="20"/>
  <c r="K23" i="19"/>
  <c r="D23" i="19"/>
  <c r="F23" i="19" s="1"/>
  <c r="H23" i="19" s="1"/>
  <c r="D29" i="20"/>
  <c r="N34" i="20"/>
  <c r="M30" i="20"/>
  <c r="X25" i="12"/>
  <c r="X53" i="12"/>
  <c r="Z53" i="12" l="1"/>
  <c r="Y53" i="12"/>
  <c r="P23" i="19" l="1"/>
  <c r="O23" i="19"/>
  <c r="W34" i="20"/>
  <c r="X29" i="20"/>
  <c r="V30" i="20"/>
  <c r="Z34" i="20"/>
  <c r="AA29" i="20"/>
  <c r="N23" i="19"/>
  <c r="J26" i="19"/>
  <c r="Y30" i="20"/>
  <c r="I24" i="19"/>
  <c r="M58" i="14"/>
  <c r="I58" i="14"/>
  <c r="N58" i="14" s="1"/>
  <c r="O58" i="14"/>
  <c r="P58" i="14" l="1"/>
  <c r="R24" i="12"/>
  <c r="X24" i="12" s="1"/>
  <c r="Q58" i="14"/>
  <c r="Y24" i="12"/>
  <c r="F24" i="12"/>
  <c r="P24" i="12" s="1"/>
  <c r="Z52" i="12"/>
  <c r="AA38" i="20" s="1"/>
  <c r="Y52" i="12"/>
  <c r="X38" i="20" s="1"/>
  <c r="R52" i="12"/>
  <c r="X52" i="12" s="1"/>
  <c r="F52" i="12"/>
  <c r="L38" i="20" s="1"/>
  <c r="V22" i="19" l="1"/>
  <c r="L22" i="19"/>
  <c r="C28" i="20"/>
  <c r="K33" i="20"/>
  <c r="J29" i="20"/>
  <c r="X28" i="20"/>
  <c r="W33" i="20"/>
  <c r="O22" i="19"/>
  <c r="V29" i="20"/>
  <c r="Z33" i="20"/>
  <c r="AA28" i="20"/>
  <c r="J25" i="19"/>
  <c r="I23" i="19"/>
  <c r="Y29" i="20"/>
  <c r="J24" i="12"/>
  <c r="Q24" i="12" s="1"/>
  <c r="W24" i="12" s="1"/>
  <c r="P52" i="12"/>
  <c r="J52" i="12"/>
  <c r="W22" i="19" s="1"/>
  <c r="M22" i="19" s="1"/>
  <c r="T22" i="19" l="1"/>
  <c r="U22" i="19"/>
  <c r="Q52" i="12"/>
  <c r="W52" i="12" s="1"/>
  <c r="R38" i="20" s="1"/>
  <c r="L24" i="12"/>
  <c r="N24" i="12" s="1"/>
  <c r="L52" i="12"/>
  <c r="N52" i="12" s="1"/>
  <c r="O38" i="20" s="1"/>
  <c r="O57" i="14"/>
  <c r="N57" i="14"/>
  <c r="I51" i="12"/>
  <c r="D51" i="12"/>
  <c r="Z51" i="12"/>
  <c r="Y51" i="12"/>
  <c r="E51" i="12"/>
  <c r="Z23" i="12"/>
  <c r="Y23" i="12"/>
  <c r="E23" i="12"/>
  <c r="F23" i="12" s="1"/>
  <c r="Q33" i="20" l="1"/>
  <c r="P29" i="20"/>
  <c r="N22" i="19"/>
  <c r="P22" i="19"/>
  <c r="Z32" i="20"/>
  <c r="AA27" i="20"/>
  <c r="AA37" i="20"/>
  <c r="J24" i="19"/>
  <c r="Y28" i="20"/>
  <c r="I22" i="19"/>
  <c r="D22" i="19"/>
  <c r="F22" i="19" s="1"/>
  <c r="H22" i="19" s="1"/>
  <c r="D28" i="20"/>
  <c r="K22" i="19"/>
  <c r="N33" i="20"/>
  <c r="M29" i="20"/>
  <c r="S28" i="20"/>
  <c r="O21" i="19"/>
  <c r="V28" i="20"/>
  <c r="X27" i="20"/>
  <c r="X37" i="20"/>
  <c r="W32" i="20"/>
  <c r="F51" i="12"/>
  <c r="R51" i="12"/>
  <c r="X51" i="12" s="1"/>
  <c r="Q57" i="14"/>
  <c r="J23" i="12"/>
  <c r="P23" i="12"/>
  <c r="R23" i="12"/>
  <c r="X23" i="12" s="1"/>
  <c r="P57" i="14"/>
  <c r="W47" i="11"/>
  <c r="V47" i="11"/>
  <c r="W46" i="11"/>
  <c r="V46" i="11"/>
  <c r="W45" i="11"/>
  <c r="V45" i="11"/>
  <c r="P47" i="11"/>
  <c r="O47" i="11"/>
  <c r="N47" i="11"/>
  <c r="P46" i="11"/>
  <c r="O46" i="11"/>
  <c r="N46" i="11"/>
  <c r="P45" i="11"/>
  <c r="O45" i="11"/>
  <c r="N45" i="11"/>
  <c r="J13" i="11"/>
  <c r="J14" i="11"/>
  <c r="J15" i="11"/>
  <c r="J16" i="11"/>
  <c r="J17" i="11"/>
  <c r="J18" i="11"/>
  <c r="J19" i="11"/>
  <c r="J20" i="11"/>
  <c r="J21" i="11"/>
  <c r="I11" i="11"/>
  <c r="I12" i="11"/>
  <c r="I13" i="11"/>
  <c r="I14" i="11"/>
  <c r="I15" i="11"/>
  <c r="I16" i="11"/>
  <c r="I17" i="11"/>
  <c r="I18" i="11"/>
  <c r="I19" i="11"/>
  <c r="I20" i="11"/>
  <c r="I21" i="11"/>
  <c r="J22" i="11"/>
  <c r="I22" i="11"/>
  <c r="J23" i="11"/>
  <c r="I23" i="11"/>
  <c r="J24" i="11"/>
  <c r="I24" i="11"/>
  <c r="J25" i="11"/>
  <c r="I25" i="11"/>
  <c r="J26" i="11"/>
  <c r="I26" i="11"/>
  <c r="J27" i="11"/>
  <c r="I27" i="11"/>
  <c r="J28" i="11"/>
  <c r="I28" i="11"/>
  <c r="J29" i="11"/>
  <c r="I29" i="11"/>
  <c r="J30" i="11"/>
  <c r="I30" i="11"/>
  <c r="J31" i="11"/>
  <c r="I31" i="11"/>
  <c r="J32" i="11"/>
  <c r="I32" i="11"/>
  <c r="J33" i="11"/>
  <c r="I33" i="11"/>
  <c r="J34" i="11"/>
  <c r="I34" i="11"/>
  <c r="J35" i="11"/>
  <c r="I35" i="11"/>
  <c r="J36" i="11"/>
  <c r="I36" i="11"/>
  <c r="J37" i="11"/>
  <c r="I37" i="11"/>
  <c r="J38" i="11"/>
  <c r="I38" i="11"/>
  <c r="J47" i="11"/>
  <c r="I47" i="11"/>
  <c r="J46" i="11"/>
  <c r="I46" i="11"/>
  <c r="J45" i="11"/>
  <c r="I45" i="11"/>
  <c r="J44" i="11"/>
  <c r="I44" i="11"/>
  <c r="J43" i="11"/>
  <c r="I43" i="11"/>
  <c r="J42" i="11"/>
  <c r="I42" i="11"/>
  <c r="J41" i="11"/>
  <c r="I41" i="11"/>
  <c r="J39" i="11"/>
  <c r="I39" i="11"/>
  <c r="D47" i="11"/>
  <c r="D46" i="11"/>
  <c r="D45" i="11"/>
  <c r="C47" i="11"/>
  <c r="C46" i="11"/>
  <c r="AA45" i="10"/>
  <c r="Z45" i="10"/>
  <c r="Y45" i="10"/>
  <c r="AA44" i="10"/>
  <c r="Z44" i="10"/>
  <c r="Y44" i="10"/>
  <c r="AA43" i="10"/>
  <c r="Z43" i="10"/>
  <c r="Y43" i="10"/>
  <c r="AA42" i="10"/>
  <c r="Z42" i="10"/>
  <c r="Y42" i="10"/>
  <c r="AA41" i="10"/>
  <c r="Z41" i="10"/>
  <c r="Y41" i="10"/>
  <c r="AA40" i="10"/>
  <c r="Z40" i="10"/>
  <c r="Y40" i="10"/>
  <c r="AA39" i="10"/>
  <c r="Z39" i="10"/>
  <c r="Y39" i="10"/>
  <c r="AA38" i="10"/>
  <c r="Z38" i="10"/>
  <c r="Y38" i="10"/>
  <c r="AA37" i="10"/>
  <c r="Z37" i="10"/>
  <c r="Y37" i="10"/>
  <c r="AA36" i="10"/>
  <c r="Z36" i="10"/>
  <c r="Y36" i="10"/>
  <c r="AA35" i="10"/>
  <c r="Z35" i="10"/>
  <c r="Y35" i="10"/>
  <c r="AA34" i="10"/>
  <c r="Z34" i="10"/>
  <c r="Y34" i="10"/>
  <c r="AA33" i="10"/>
  <c r="Z33" i="10"/>
  <c r="Y33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X46" i="10"/>
  <c r="W46" i="10"/>
  <c r="V46" i="10"/>
  <c r="X45" i="10"/>
  <c r="W45" i="10"/>
  <c r="V45" i="10"/>
  <c r="X44" i="10"/>
  <c r="W44" i="10"/>
  <c r="V44" i="10"/>
  <c r="X43" i="10"/>
  <c r="W43" i="10"/>
  <c r="V43" i="10"/>
  <c r="X42" i="10"/>
  <c r="W42" i="10"/>
  <c r="V42" i="10"/>
  <c r="X41" i="10"/>
  <c r="W41" i="10"/>
  <c r="V41" i="10"/>
  <c r="X40" i="10"/>
  <c r="W40" i="10"/>
  <c r="V40" i="10"/>
  <c r="X39" i="10"/>
  <c r="W39" i="10"/>
  <c r="V39" i="10"/>
  <c r="X38" i="10"/>
  <c r="W38" i="10"/>
  <c r="V38" i="10"/>
  <c r="X37" i="10"/>
  <c r="W37" i="10"/>
  <c r="V37" i="10"/>
  <c r="X36" i="10"/>
  <c r="W36" i="10"/>
  <c r="V36" i="10"/>
  <c r="X35" i="10"/>
  <c r="W35" i="10"/>
  <c r="V35" i="10"/>
  <c r="X34" i="10"/>
  <c r="W34" i="10"/>
  <c r="V34" i="10"/>
  <c r="X33" i="10"/>
  <c r="W33" i="10"/>
  <c r="V33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P45" i="10"/>
  <c r="P44" i="10"/>
  <c r="P43" i="10"/>
  <c r="R45" i="10"/>
  <c r="Q45" i="10"/>
  <c r="R44" i="10"/>
  <c r="Q44" i="10"/>
  <c r="R43" i="10"/>
  <c r="Q43" i="10"/>
  <c r="R42" i="10"/>
  <c r="Q42" i="10"/>
  <c r="R41" i="10"/>
  <c r="Q41" i="10"/>
  <c r="R40" i="10"/>
  <c r="Q40" i="10"/>
  <c r="R39" i="10"/>
  <c r="Q39" i="10"/>
  <c r="R38" i="10"/>
  <c r="Q38" i="10"/>
  <c r="R37" i="10"/>
  <c r="Q37" i="10"/>
  <c r="R36" i="10"/>
  <c r="Q36" i="10"/>
  <c r="R35" i="10"/>
  <c r="Q35" i="10"/>
  <c r="R34" i="10"/>
  <c r="Q34" i="10"/>
  <c r="R33" i="10"/>
  <c r="Q33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O45" i="10"/>
  <c r="N45" i="10"/>
  <c r="M45" i="10"/>
  <c r="O44" i="10"/>
  <c r="N44" i="10"/>
  <c r="M44" i="10"/>
  <c r="O43" i="10"/>
  <c r="N43" i="10"/>
  <c r="M43" i="10"/>
  <c r="O42" i="10"/>
  <c r="N42" i="10"/>
  <c r="M42" i="10"/>
  <c r="O41" i="10"/>
  <c r="N41" i="10"/>
  <c r="M41" i="10"/>
  <c r="O40" i="10"/>
  <c r="N40" i="10"/>
  <c r="M40" i="10"/>
  <c r="O39" i="10"/>
  <c r="N39" i="10"/>
  <c r="M39" i="10"/>
  <c r="O38" i="10"/>
  <c r="N38" i="10"/>
  <c r="M38" i="10"/>
  <c r="O37" i="10"/>
  <c r="N37" i="10"/>
  <c r="M37" i="10"/>
  <c r="O36" i="10"/>
  <c r="N36" i="10"/>
  <c r="M36" i="10"/>
  <c r="O35" i="10"/>
  <c r="N35" i="10"/>
  <c r="M35" i="10"/>
  <c r="O34" i="10"/>
  <c r="N34" i="10"/>
  <c r="M34" i="10"/>
  <c r="O33" i="10"/>
  <c r="N33" i="10"/>
  <c r="M33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45" i="10"/>
  <c r="K45" i="10"/>
  <c r="J45" i="10"/>
  <c r="L44" i="10"/>
  <c r="K44" i="10"/>
  <c r="J44" i="10"/>
  <c r="L43" i="10"/>
  <c r="K43" i="10"/>
  <c r="J43" i="10"/>
  <c r="H47" i="10"/>
  <c r="I45" i="10"/>
  <c r="H45" i="10"/>
  <c r="G45" i="10"/>
  <c r="I44" i="10"/>
  <c r="H44" i="10"/>
  <c r="G44" i="10"/>
  <c r="I43" i="10"/>
  <c r="H43" i="10"/>
  <c r="G43" i="10"/>
  <c r="I42" i="10"/>
  <c r="H42" i="10"/>
  <c r="G42" i="10"/>
  <c r="I41" i="10"/>
  <c r="H41" i="10"/>
  <c r="G41" i="10"/>
  <c r="I40" i="10"/>
  <c r="H40" i="10"/>
  <c r="G40" i="10"/>
  <c r="I39" i="10"/>
  <c r="H39" i="10"/>
  <c r="G39" i="10"/>
  <c r="I38" i="10"/>
  <c r="H38" i="10"/>
  <c r="G38" i="10"/>
  <c r="I37" i="10"/>
  <c r="H37" i="10"/>
  <c r="G37" i="10"/>
  <c r="I36" i="10"/>
  <c r="H36" i="10"/>
  <c r="G36" i="10"/>
  <c r="I35" i="10"/>
  <c r="H35" i="10"/>
  <c r="G35" i="10"/>
  <c r="I34" i="10"/>
  <c r="H34" i="10"/>
  <c r="G34" i="10"/>
  <c r="I33" i="10"/>
  <c r="H33" i="10"/>
  <c r="G33" i="10"/>
  <c r="D45" i="10"/>
  <c r="C45" i="10"/>
  <c r="D44" i="10"/>
  <c r="C44" i="10"/>
  <c r="D43" i="10"/>
  <c r="C43" i="10"/>
  <c r="D42" i="10"/>
  <c r="C42" i="10"/>
  <c r="D41" i="10"/>
  <c r="C41" i="10"/>
  <c r="D40" i="10"/>
  <c r="C40" i="10"/>
  <c r="D39" i="10"/>
  <c r="C39" i="10"/>
  <c r="D38" i="10"/>
  <c r="C38" i="10"/>
  <c r="D37" i="10"/>
  <c r="C37" i="10"/>
  <c r="D36" i="10"/>
  <c r="C36" i="10"/>
  <c r="D35" i="10"/>
  <c r="C35" i="10"/>
  <c r="D34" i="10"/>
  <c r="C34" i="10"/>
  <c r="D33" i="10"/>
  <c r="C33" i="10"/>
  <c r="B47" i="10"/>
  <c r="B45" i="10"/>
  <c r="B44" i="10"/>
  <c r="L21" i="19" l="1"/>
  <c r="V21" i="19"/>
  <c r="C27" i="20"/>
  <c r="L37" i="20"/>
  <c r="K32" i="20"/>
  <c r="J28" i="20"/>
  <c r="J51" i="12"/>
  <c r="P51" i="12"/>
  <c r="L23" i="12"/>
  <c r="N23" i="12" s="1"/>
  <c r="Q23" i="12"/>
  <c r="W23" i="12" s="1"/>
  <c r="Q51" i="12"/>
  <c r="W51" i="12" s="1"/>
  <c r="O15" i="15"/>
  <c r="R37" i="20" l="1"/>
  <c r="Q32" i="20"/>
  <c r="P28" i="20"/>
  <c r="P21" i="19"/>
  <c r="N21" i="19"/>
  <c r="L51" i="12"/>
  <c r="N51" i="12" s="1"/>
  <c r="W21" i="19"/>
  <c r="M21" i="19" s="1"/>
  <c r="T21" i="19"/>
  <c r="U21" i="19"/>
  <c r="AA32" i="10"/>
  <c r="Z32" i="10"/>
  <c r="Y32" i="10"/>
  <c r="X32" i="10"/>
  <c r="W32" i="10"/>
  <c r="V32" i="10"/>
  <c r="R32" i="10"/>
  <c r="Q32" i="10"/>
  <c r="O32" i="10"/>
  <c r="N32" i="10"/>
  <c r="M32" i="10"/>
  <c r="I32" i="10"/>
  <c r="H32" i="10"/>
  <c r="G32" i="10"/>
  <c r="D32" i="10"/>
  <c r="C32" i="10"/>
  <c r="K21" i="19" l="1"/>
  <c r="D21" i="19"/>
  <c r="F21" i="19" s="1"/>
  <c r="H21" i="19" s="1"/>
  <c r="D27" i="20"/>
  <c r="O37" i="20"/>
  <c r="N32" i="20"/>
  <c r="M28" i="20"/>
  <c r="O50" i="12"/>
  <c r="P44" i="11" l="1"/>
  <c r="O44" i="11"/>
  <c r="N44" i="11"/>
  <c r="W44" i="11"/>
  <c r="D44" i="11"/>
  <c r="J40" i="11"/>
  <c r="I40" i="11"/>
  <c r="L39" i="10"/>
  <c r="L38" i="10"/>
  <c r="F39" i="10"/>
  <c r="F38" i="10"/>
  <c r="I50" i="12" l="1"/>
  <c r="I49" i="12"/>
  <c r="I48" i="12"/>
  <c r="I46" i="12"/>
  <c r="E48" i="12" l="1"/>
  <c r="C48" i="12"/>
  <c r="E50" i="12"/>
  <c r="E46" i="12"/>
  <c r="D46" i="12"/>
  <c r="B24" i="20" l="1"/>
  <c r="C18" i="19"/>
  <c r="O56" i="14"/>
  <c r="N56" i="14"/>
  <c r="Z50" i="12"/>
  <c r="Y50" i="12"/>
  <c r="F50" i="12"/>
  <c r="Z22" i="12"/>
  <c r="Y22" i="12"/>
  <c r="F22" i="12"/>
  <c r="J22" i="12" s="1"/>
  <c r="F21" i="12"/>
  <c r="AA36" i="20" l="1"/>
  <c r="AA26" i="20"/>
  <c r="Z31" i="20"/>
  <c r="I21" i="19"/>
  <c r="J23" i="19"/>
  <c r="Y27" i="20"/>
  <c r="V20" i="19"/>
  <c r="C26" i="20"/>
  <c r="L20" i="19"/>
  <c r="L36" i="20"/>
  <c r="K31" i="20"/>
  <c r="J27" i="20"/>
  <c r="X26" i="20"/>
  <c r="X36" i="20"/>
  <c r="O20" i="19"/>
  <c r="W31" i="20"/>
  <c r="V27" i="20"/>
  <c r="S27" i="20"/>
  <c r="P56" i="14"/>
  <c r="R22" i="12"/>
  <c r="X22" i="12" s="1"/>
  <c r="Q56" i="14"/>
  <c r="R50" i="12"/>
  <c r="X50" i="12" s="1"/>
  <c r="Q22" i="12"/>
  <c r="W22" i="12" s="1"/>
  <c r="L22" i="12"/>
  <c r="N22" i="12" s="1"/>
  <c r="P22" i="12"/>
  <c r="J50" i="12"/>
  <c r="W20" i="19" s="1"/>
  <c r="M20" i="19" s="1"/>
  <c r="P50" i="12"/>
  <c r="U20" i="19" l="1"/>
  <c r="T20" i="19"/>
  <c r="Q50" i="12"/>
  <c r="W50" i="12" s="1"/>
  <c r="L50" i="12"/>
  <c r="N50" i="12" s="1"/>
  <c r="O21" i="15"/>
  <c r="O19" i="15"/>
  <c r="O14" i="15"/>
  <c r="M55" i="14"/>
  <c r="O55" i="14"/>
  <c r="Z49" i="12"/>
  <c r="Y49" i="12"/>
  <c r="F49" i="12"/>
  <c r="Z21" i="12"/>
  <c r="Y21" i="12"/>
  <c r="J21" i="12"/>
  <c r="P15" i="15"/>
  <c r="P14" i="15"/>
  <c r="M54" i="14"/>
  <c r="N54" i="14" s="1"/>
  <c r="O54" i="14"/>
  <c r="F48" i="12"/>
  <c r="Z48" i="12"/>
  <c r="Y48" i="12"/>
  <c r="F20" i="12"/>
  <c r="Z20" i="12"/>
  <c r="Y20" i="12"/>
  <c r="Q14" i="15"/>
  <c r="Q15" i="15"/>
  <c r="P42" i="10"/>
  <c r="K42" i="10"/>
  <c r="J42" i="10"/>
  <c r="L42" i="10"/>
  <c r="F42" i="10"/>
  <c r="L41" i="10"/>
  <c r="F41" i="10"/>
  <c r="L40" i="10"/>
  <c r="O53" i="14"/>
  <c r="N53" i="14"/>
  <c r="F47" i="12"/>
  <c r="Z47" i="12"/>
  <c r="Y47" i="12"/>
  <c r="Z19" i="12"/>
  <c r="Y19" i="12"/>
  <c r="F19" i="12"/>
  <c r="J19" i="12" s="1"/>
  <c r="Q19" i="12" s="1"/>
  <c r="W19" i="12" s="1"/>
  <c r="R21" i="15"/>
  <c r="R19" i="15"/>
  <c r="R14" i="15"/>
  <c r="I52" i="14"/>
  <c r="F52" i="14"/>
  <c r="F46" i="12"/>
  <c r="Z46" i="12"/>
  <c r="Y46" i="12"/>
  <c r="F18" i="12"/>
  <c r="P18" i="12" s="1"/>
  <c r="Z18" i="12"/>
  <c r="Y18" i="12"/>
  <c r="E45" i="12"/>
  <c r="E44" i="12"/>
  <c r="E43" i="12"/>
  <c r="E42" i="12"/>
  <c r="E41" i="12"/>
  <c r="F41" i="12" s="1"/>
  <c r="E17" i="12"/>
  <c r="F17" i="12" s="1"/>
  <c r="J17" i="12" s="1"/>
  <c r="Q17" i="12" s="1"/>
  <c r="W17" i="12" s="1"/>
  <c r="E16" i="12"/>
  <c r="F16" i="12" s="1"/>
  <c r="E15" i="12"/>
  <c r="F15" i="12" s="1"/>
  <c r="J15" i="12" s="1"/>
  <c r="E14" i="12"/>
  <c r="F14" i="12" s="1"/>
  <c r="E13" i="12"/>
  <c r="F13" i="12" s="1"/>
  <c r="J13" i="12" s="1"/>
  <c r="S12" i="15"/>
  <c r="S15" i="15"/>
  <c r="O51" i="14"/>
  <c r="N51" i="14"/>
  <c r="D45" i="12"/>
  <c r="C45" i="12"/>
  <c r="Z45" i="12"/>
  <c r="Y45" i="12"/>
  <c r="Z17" i="12"/>
  <c r="Y17" i="12"/>
  <c r="O14" i="12"/>
  <c r="O13" i="12"/>
  <c r="O12" i="12"/>
  <c r="O11" i="12"/>
  <c r="O42" i="12"/>
  <c r="O41" i="12"/>
  <c r="O40" i="12"/>
  <c r="O39" i="12"/>
  <c r="O44" i="12"/>
  <c r="O16" i="12"/>
  <c r="O43" i="12"/>
  <c r="O15" i="12"/>
  <c r="H49" i="16"/>
  <c r="I49" i="16" s="1"/>
  <c r="N49" i="16"/>
  <c r="H48" i="16"/>
  <c r="I48" i="16" s="1"/>
  <c r="N47" i="16"/>
  <c r="O47" i="16" s="1"/>
  <c r="N46" i="16"/>
  <c r="O46" i="16" s="1"/>
  <c r="N45" i="16"/>
  <c r="O45" i="16" s="1"/>
  <c r="N44" i="16"/>
  <c r="O44" i="16" s="1"/>
  <c r="N43" i="16"/>
  <c r="O43" i="16" s="1"/>
  <c r="N42" i="16"/>
  <c r="O42" i="16" s="1"/>
  <c r="N41" i="16"/>
  <c r="O41" i="16" s="1"/>
  <c r="N40" i="16"/>
  <c r="O40" i="16" s="1"/>
  <c r="N39" i="16"/>
  <c r="O39" i="16" s="1"/>
  <c r="N38" i="16"/>
  <c r="O38" i="16" s="1"/>
  <c r="N37" i="16"/>
  <c r="O37" i="16" s="1"/>
  <c r="N36" i="16"/>
  <c r="O36" i="16" s="1"/>
  <c r="N35" i="16"/>
  <c r="O35" i="16" s="1"/>
  <c r="N34" i="16"/>
  <c r="O34" i="16" s="1"/>
  <c r="N33" i="16"/>
  <c r="O33" i="16" s="1"/>
  <c r="N32" i="16"/>
  <c r="O32" i="16" s="1"/>
  <c r="N31" i="16"/>
  <c r="O31" i="16" s="1"/>
  <c r="C11" i="12"/>
  <c r="E11" i="12"/>
  <c r="I11" i="12"/>
  <c r="B11" i="12"/>
  <c r="I39" i="12"/>
  <c r="E39" i="12"/>
  <c r="C39" i="12"/>
  <c r="B15" i="20" s="1"/>
  <c r="B39" i="12"/>
  <c r="Y49" i="16"/>
  <c r="X49" i="16"/>
  <c r="Y48" i="16"/>
  <c r="B48" i="16"/>
  <c r="C45" i="16"/>
  <c r="J44" i="16"/>
  <c r="V44" i="11" s="1"/>
  <c r="H44" i="16"/>
  <c r="F44" i="16"/>
  <c r="C44" i="16"/>
  <c r="F43" i="16"/>
  <c r="C43" i="16"/>
  <c r="B41" i="10" s="1"/>
  <c r="C42" i="16"/>
  <c r="B40" i="10" s="1"/>
  <c r="C41" i="16"/>
  <c r="B39" i="10" s="1"/>
  <c r="C40" i="16"/>
  <c r="B38" i="10" s="1"/>
  <c r="C39" i="16"/>
  <c r="B37" i="10" s="1"/>
  <c r="C38" i="16"/>
  <c r="B36" i="10" s="1"/>
  <c r="C37" i="16"/>
  <c r="B35" i="10" s="1"/>
  <c r="C36" i="16"/>
  <c r="B34" i="10" s="1"/>
  <c r="C35" i="16"/>
  <c r="B33" i="10" s="1"/>
  <c r="C34" i="16"/>
  <c r="B32" i="10" s="1"/>
  <c r="C33" i="16"/>
  <c r="C32" i="16"/>
  <c r="C31" i="16"/>
  <c r="C30" i="16"/>
  <c r="I43" i="12"/>
  <c r="I42" i="12"/>
  <c r="D43" i="12"/>
  <c r="C42" i="12"/>
  <c r="B18" i="20" s="1"/>
  <c r="C44" i="12"/>
  <c r="D44" i="12"/>
  <c r="U12" i="15"/>
  <c r="U14" i="15" s="1"/>
  <c r="T12" i="15"/>
  <c r="Z44" i="12"/>
  <c r="Z43" i="12"/>
  <c r="Y44" i="12"/>
  <c r="Z42" i="12"/>
  <c r="Y43" i="12"/>
  <c r="Z14" i="15"/>
  <c r="AA14" i="15"/>
  <c r="AB14" i="15"/>
  <c r="AC14" i="15"/>
  <c r="AD14" i="15"/>
  <c r="AE14" i="15"/>
  <c r="AF14" i="15"/>
  <c r="AG14" i="15"/>
  <c r="AH14" i="15"/>
  <c r="AI14" i="15"/>
  <c r="Y14" i="15"/>
  <c r="AB20" i="15"/>
  <c r="AC20" i="15"/>
  <c r="AC19" i="15" s="1"/>
  <c r="AE20" i="15"/>
  <c r="AE13" i="15" s="1"/>
  <c r="AF20" i="15"/>
  <c r="AF19" i="15" s="1"/>
  <c r="AG20" i="15"/>
  <c r="AG19" i="15" s="1"/>
  <c r="AH20" i="15"/>
  <c r="AH19" i="15" s="1"/>
  <c r="AI20" i="15"/>
  <c r="AI19" i="15" s="1"/>
  <c r="Y42" i="12"/>
  <c r="Y41" i="12"/>
  <c r="Z40" i="12"/>
  <c r="Z41" i="12"/>
  <c r="F40" i="12"/>
  <c r="Z39" i="12"/>
  <c r="Y39" i="12"/>
  <c r="Y40" i="12"/>
  <c r="F12" i="12"/>
  <c r="J12" i="12" s="1"/>
  <c r="Y11" i="12"/>
  <c r="Z11" i="12"/>
  <c r="Y12" i="12"/>
  <c r="Z12" i="12"/>
  <c r="Y13" i="12"/>
  <c r="Z13" i="12"/>
  <c r="Y14" i="12"/>
  <c r="Z14" i="12"/>
  <c r="Y15" i="12"/>
  <c r="Z15" i="12"/>
  <c r="Y16" i="12"/>
  <c r="Z16" i="12"/>
  <c r="U15" i="15"/>
  <c r="U19" i="15" s="1"/>
  <c r="T15" i="15"/>
  <c r="AB31" i="15"/>
  <c r="AB30" i="15" s="1"/>
  <c r="AC31" i="15"/>
  <c r="AC30" i="15" s="1"/>
  <c r="O48" i="13"/>
  <c r="E48" i="13"/>
  <c r="K48" i="13"/>
  <c r="L48" i="13" s="1"/>
  <c r="D47" i="13"/>
  <c r="C49" i="11" s="1"/>
  <c r="O46" i="14"/>
  <c r="E41" i="14"/>
  <c r="F41" i="14"/>
  <c r="E36" i="14"/>
  <c r="F36" i="14"/>
  <c r="O47" i="14"/>
  <c r="E42" i="14"/>
  <c r="O42" i="14" s="1"/>
  <c r="E37" i="14"/>
  <c r="O37" i="14" s="1"/>
  <c r="C48" i="14"/>
  <c r="D48" i="14"/>
  <c r="E43" i="14"/>
  <c r="F43" i="14"/>
  <c r="E38" i="14"/>
  <c r="E49" i="14"/>
  <c r="F49" i="14"/>
  <c r="O44" i="14"/>
  <c r="E39" i="14"/>
  <c r="F39" i="14"/>
  <c r="E50" i="14"/>
  <c r="F50" i="14"/>
  <c r="O45" i="14"/>
  <c r="E40" i="14"/>
  <c r="F40" i="14"/>
  <c r="E35" i="14"/>
  <c r="F35" i="14"/>
  <c r="M50" i="14"/>
  <c r="K50" i="14"/>
  <c r="J50" i="14"/>
  <c r="I50" i="14"/>
  <c r="I49" i="14"/>
  <c r="Q37" i="13"/>
  <c r="Q36" i="13"/>
  <c r="Q35" i="13"/>
  <c r="Q34" i="13"/>
  <c r="Q33" i="13"/>
  <c r="Q32" i="13"/>
  <c r="Q31" i="13"/>
  <c r="M32" i="11" s="1"/>
  <c r="Q30" i="13"/>
  <c r="Q29" i="13"/>
  <c r="Q28" i="13"/>
  <c r="I27" i="13"/>
  <c r="K27" i="13" s="1"/>
  <c r="I26" i="13"/>
  <c r="I25" i="13"/>
  <c r="Q25" i="13" s="1"/>
  <c r="I24" i="13"/>
  <c r="T24" i="13" s="1"/>
  <c r="I23" i="13"/>
  <c r="Q23" i="13" s="1"/>
  <c r="I22" i="13"/>
  <c r="T22" i="13" s="1"/>
  <c r="Q21" i="13"/>
  <c r="I20" i="13"/>
  <c r="Q20" i="13" s="1"/>
  <c r="Q19" i="13"/>
  <c r="Q18" i="13"/>
  <c r="I17" i="13"/>
  <c r="Q17" i="13" s="1"/>
  <c r="I16" i="13"/>
  <c r="Q16" i="13" s="1"/>
  <c r="Q15" i="13"/>
  <c r="Q14" i="13"/>
  <c r="Q13" i="13"/>
  <c r="Q12" i="13"/>
  <c r="Q11" i="13"/>
  <c r="Q10" i="13"/>
  <c r="Q9" i="13"/>
  <c r="Q48" i="13"/>
  <c r="B47" i="13"/>
  <c r="Q46" i="13"/>
  <c r="Q45" i="13"/>
  <c r="Q44" i="13"/>
  <c r="Q43" i="13"/>
  <c r="Q42" i="13"/>
  <c r="Q41" i="13"/>
  <c r="Q40" i="13"/>
  <c r="Q39" i="13"/>
  <c r="Q38" i="13"/>
  <c r="M49" i="14"/>
  <c r="Y15" i="15"/>
  <c r="Y20" i="15" s="1"/>
  <c r="AJ20" i="15" s="1"/>
  <c r="AI31" i="15"/>
  <c r="AJ28" i="15"/>
  <c r="AI18" i="15"/>
  <c r="AJ16" i="15"/>
  <c r="AJ12" i="15"/>
  <c r="C47" i="13"/>
  <c r="K49" i="14"/>
  <c r="J49" i="14"/>
  <c r="F43" i="10"/>
  <c r="F44" i="10"/>
  <c r="F45" i="10"/>
  <c r="O11" i="14"/>
  <c r="U18" i="10"/>
  <c r="E34" i="14"/>
  <c r="O34" i="14" s="1"/>
  <c r="E33" i="14"/>
  <c r="F33" i="14"/>
  <c r="E32" i="14"/>
  <c r="F32" i="14"/>
  <c r="E31" i="14"/>
  <c r="F31" i="14"/>
  <c r="U28" i="10"/>
  <c r="U27" i="10"/>
  <c r="U26" i="10"/>
  <c r="U25" i="10"/>
  <c r="U24" i="10"/>
  <c r="U23" i="10"/>
  <c r="U22" i="10"/>
  <c r="T22" i="10"/>
  <c r="T21" i="10"/>
  <c r="T20" i="10"/>
  <c r="T19" i="10"/>
  <c r="T18" i="10"/>
  <c r="T17" i="10"/>
  <c r="T26" i="10"/>
  <c r="T25" i="10"/>
  <c r="T24" i="10"/>
  <c r="T23" i="10"/>
  <c r="T28" i="10"/>
  <c r="T27" i="10"/>
  <c r="I48" i="14"/>
  <c r="Z17" i="15"/>
  <c r="Z15" i="15"/>
  <c r="O46" i="13"/>
  <c r="T46" i="13"/>
  <c r="J48" i="14"/>
  <c r="AA15" i="15"/>
  <c r="AA20" i="15" s="1"/>
  <c r="AA19" i="15" s="1"/>
  <c r="O9" i="13"/>
  <c r="R9" i="13" s="1"/>
  <c r="S10" i="11" s="1"/>
  <c r="O10" i="13"/>
  <c r="R10" i="13" s="1"/>
  <c r="O11" i="13"/>
  <c r="R11" i="13" s="1"/>
  <c r="R12" i="11" s="1"/>
  <c r="O12" i="13"/>
  <c r="R12" i="13" s="1"/>
  <c r="S13" i="11" s="1"/>
  <c r="O13" i="13"/>
  <c r="R13" i="13" s="1"/>
  <c r="O14" i="13"/>
  <c r="R14" i="13" s="1"/>
  <c r="O15" i="13"/>
  <c r="R15" i="13" s="1"/>
  <c r="R16" i="11" s="1"/>
  <c r="O16" i="13"/>
  <c r="O17" i="13"/>
  <c r="R17" i="13" s="1"/>
  <c r="O18" i="13"/>
  <c r="R18" i="13" s="1"/>
  <c r="O19" i="13"/>
  <c r="R19" i="13" s="1"/>
  <c r="S19" i="13" s="1"/>
  <c r="O20" i="13"/>
  <c r="R20" i="13" s="1"/>
  <c r="O21" i="13"/>
  <c r="R21" i="13" s="1"/>
  <c r="O22" i="13"/>
  <c r="R22" i="13" s="1"/>
  <c r="O23" i="13"/>
  <c r="R23" i="13" s="1"/>
  <c r="O24" i="13"/>
  <c r="O25" i="13"/>
  <c r="R25" i="13" s="1"/>
  <c r="O26" i="13"/>
  <c r="R26" i="13" s="1"/>
  <c r="O27" i="13"/>
  <c r="R27" i="13" s="1"/>
  <c r="O28" i="13"/>
  <c r="R28" i="13" s="1"/>
  <c r="S29" i="11" s="1"/>
  <c r="O29" i="13"/>
  <c r="R29" i="13" s="1"/>
  <c r="R30" i="11" s="1"/>
  <c r="O30" i="13"/>
  <c r="R30" i="13" s="1"/>
  <c r="O31" i="13"/>
  <c r="R31" i="13" s="1"/>
  <c r="O32" i="13"/>
  <c r="O33" i="13"/>
  <c r="R33" i="13" s="1"/>
  <c r="O34" i="13"/>
  <c r="O35" i="13"/>
  <c r="R35" i="13" s="1"/>
  <c r="R36" i="11" s="1"/>
  <c r="O36" i="13"/>
  <c r="R36" i="13" s="1"/>
  <c r="S37" i="11" s="1"/>
  <c r="O37" i="13"/>
  <c r="O38" i="13"/>
  <c r="R38" i="13" s="1"/>
  <c r="S39" i="11" s="1"/>
  <c r="O39" i="13"/>
  <c r="O40" i="13"/>
  <c r="R40" i="13" s="1"/>
  <c r="O41" i="13"/>
  <c r="R41" i="13" s="1"/>
  <c r="O42" i="13"/>
  <c r="O43" i="13"/>
  <c r="R43" i="13" s="1"/>
  <c r="O44" i="13"/>
  <c r="R44" i="13" s="1"/>
  <c r="O45" i="13"/>
  <c r="R45" i="13" s="1"/>
  <c r="R8" i="13"/>
  <c r="T45" i="13"/>
  <c r="V46" i="13"/>
  <c r="U46" i="13"/>
  <c r="E47" i="11" s="1"/>
  <c r="K46" i="13"/>
  <c r="T44" i="13"/>
  <c r="V45" i="13"/>
  <c r="U45" i="13"/>
  <c r="E46" i="11" s="1"/>
  <c r="T12" i="13"/>
  <c r="T11" i="13"/>
  <c r="T10" i="13"/>
  <c r="T9" i="13"/>
  <c r="W9" i="13" s="1"/>
  <c r="T15" i="13"/>
  <c r="T14" i="13"/>
  <c r="T13" i="13"/>
  <c r="W14" i="13" s="1"/>
  <c r="T21" i="13"/>
  <c r="T19" i="13"/>
  <c r="T18" i="13"/>
  <c r="T23" i="13"/>
  <c r="T32" i="13"/>
  <c r="T31" i="13"/>
  <c r="T30" i="13"/>
  <c r="T29" i="13"/>
  <c r="T28" i="13"/>
  <c r="W29" i="13" s="1"/>
  <c r="T37" i="13"/>
  <c r="T36" i="13"/>
  <c r="T35" i="13"/>
  <c r="T34" i="13"/>
  <c r="T33" i="13"/>
  <c r="T42" i="13"/>
  <c r="T41" i="13"/>
  <c r="T40" i="13"/>
  <c r="T39" i="13"/>
  <c r="T38" i="13"/>
  <c r="T43" i="13"/>
  <c r="K12" i="13"/>
  <c r="K11" i="13"/>
  <c r="K10" i="13"/>
  <c r="K9" i="13"/>
  <c r="K16" i="13"/>
  <c r="K15" i="13"/>
  <c r="K14" i="13"/>
  <c r="K13" i="13"/>
  <c r="K21" i="13"/>
  <c r="K19" i="13"/>
  <c r="K18" i="13"/>
  <c r="K23" i="13"/>
  <c r="K32" i="13"/>
  <c r="K31" i="13"/>
  <c r="K30" i="13"/>
  <c r="K29" i="13"/>
  <c r="K28" i="13"/>
  <c r="K37" i="13"/>
  <c r="K36" i="13"/>
  <c r="K35" i="13"/>
  <c r="K34" i="13"/>
  <c r="K33" i="13"/>
  <c r="K38" i="13"/>
  <c r="K40" i="13"/>
  <c r="K39" i="13"/>
  <c r="K41" i="13"/>
  <c r="K42" i="13"/>
  <c r="K43" i="13"/>
  <c r="K44" i="13"/>
  <c r="V44" i="13"/>
  <c r="U44" i="13"/>
  <c r="E45" i="11" s="1"/>
  <c r="V43" i="13"/>
  <c r="U43" i="13"/>
  <c r="E44" i="11" s="1"/>
  <c r="V42" i="13"/>
  <c r="U42" i="13"/>
  <c r="V41" i="13"/>
  <c r="U41" i="13"/>
  <c r="V40" i="13"/>
  <c r="U40" i="13"/>
  <c r="V39" i="13"/>
  <c r="U39" i="13"/>
  <c r="V38" i="13"/>
  <c r="U38" i="13"/>
  <c r="C38" i="13"/>
  <c r="V37" i="13"/>
  <c r="U37" i="13"/>
  <c r="C37" i="13"/>
  <c r="V36" i="13"/>
  <c r="U36" i="13"/>
  <c r="C36" i="13"/>
  <c r="V35" i="13"/>
  <c r="U35" i="13"/>
  <c r="C35" i="13"/>
  <c r="V34" i="13"/>
  <c r="U34" i="13"/>
  <c r="C34" i="13"/>
  <c r="V33" i="13"/>
  <c r="U33" i="13"/>
  <c r="V32" i="13"/>
  <c r="U32" i="13"/>
  <c r="V31" i="13"/>
  <c r="U31" i="13"/>
  <c r="V30" i="13"/>
  <c r="U30" i="13"/>
  <c r="V29" i="13"/>
  <c r="U29" i="13"/>
  <c r="V28" i="13"/>
  <c r="U28" i="13"/>
  <c r="V27" i="13"/>
  <c r="U27" i="13"/>
  <c r="V26" i="13"/>
  <c r="U26" i="13"/>
  <c r="V25" i="13"/>
  <c r="U25" i="13"/>
  <c r="V24" i="13"/>
  <c r="U24" i="13"/>
  <c r="V23" i="13"/>
  <c r="U23" i="13"/>
  <c r="V22" i="13"/>
  <c r="U22" i="13"/>
  <c r="V21" i="13"/>
  <c r="U21" i="13"/>
  <c r="V20" i="13"/>
  <c r="U20" i="13"/>
  <c r="V19" i="13"/>
  <c r="U19" i="13"/>
  <c r="V18" i="13"/>
  <c r="U18" i="13"/>
  <c r="V17" i="13"/>
  <c r="U17" i="13"/>
  <c r="V16" i="13"/>
  <c r="U16" i="13"/>
  <c r="V15" i="13"/>
  <c r="U15" i="13"/>
  <c r="V14" i="13"/>
  <c r="U14" i="13"/>
  <c r="V13" i="13"/>
  <c r="U13" i="13"/>
  <c r="V12" i="13"/>
  <c r="U12" i="13"/>
  <c r="V11" i="13"/>
  <c r="U11" i="13"/>
  <c r="V10" i="13"/>
  <c r="U10" i="13"/>
  <c r="V9" i="13"/>
  <c r="U9" i="13"/>
  <c r="N47" i="14"/>
  <c r="N46" i="14"/>
  <c r="J45" i="14"/>
  <c r="N45" i="14" s="1"/>
  <c r="K44" i="14"/>
  <c r="J44" i="14"/>
  <c r="J43" i="14"/>
  <c r="K43" i="14"/>
  <c r="K31" i="14"/>
  <c r="J31" i="14"/>
  <c r="I31" i="14"/>
  <c r="K32" i="14"/>
  <c r="J32" i="14"/>
  <c r="I32" i="14"/>
  <c r="K33" i="14"/>
  <c r="J33" i="14"/>
  <c r="I33" i="14"/>
  <c r="J34" i="14"/>
  <c r="I34" i="14"/>
  <c r="K35" i="14"/>
  <c r="J35" i="14"/>
  <c r="I35" i="14"/>
  <c r="J36" i="14"/>
  <c r="J37" i="14"/>
  <c r="K38" i="14"/>
  <c r="J38" i="14"/>
  <c r="K39" i="14"/>
  <c r="J39" i="14"/>
  <c r="K40" i="14"/>
  <c r="J40" i="14"/>
  <c r="K41" i="14"/>
  <c r="J41" i="14"/>
  <c r="K42" i="14"/>
  <c r="J42" i="14"/>
  <c r="Q30" i="14"/>
  <c r="P30" i="14"/>
  <c r="N30" i="14"/>
  <c r="Q29" i="14"/>
  <c r="P29" i="14"/>
  <c r="N29" i="14"/>
  <c r="Q28" i="14"/>
  <c r="P28" i="14"/>
  <c r="N28" i="14"/>
  <c r="Q27" i="14"/>
  <c r="P27" i="14"/>
  <c r="N27" i="14"/>
  <c r="Q26" i="14"/>
  <c r="P26" i="14"/>
  <c r="N26" i="14"/>
  <c r="Q25" i="14"/>
  <c r="P25" i="14"/>
  <c r="N25" i="14"/>
  <c r="Q24" i="14"/>
  <c r="P24" i="14"/>
  <c r="N24" i="14"/>
  <c r="Q23" i="14"/>
  <c r="P23" i="14"/>
  <c r="N23" i="14"/>
  <c r="Q22" i="14"/>
  <c r="P22" i="14"/>
  <c r="N22" i="14"/>
  <c r="Q21" i="14"/>
  <c r="P21" i="14"/>
  <c r="N21" i="14"/>
  <c r="Q20" i="14"/>
  <c r="P20" i="14"/>
  <c r="N20" i="14"/>
  <c r="Q19" i="14"/>
  <c r="P19" i="14"/>
  <c r="N19" i="14"/>
  <c r="Q18" i="14"/>
  <c r="P18" i="14"/>
  <c r="N18" i="14"/>
  <c r="Q17" i="14"/>
  <c r="P17" i="14"/>
  <c r="N17" i="14"/>
  <c r="Q16" i="14"/>
  <c r="P16" i="14"/>
  <c r="N16" i="14"/>
  <c r="Q15" i="14"/>
  <c r="P15" i="14"/>
  <c r="N15" i="14"/>
  <c r="Q14" i="14"/>
  <c r="P14" i="14"/>
  <c r="N14" i="14"/>
  <c r="Q13" i="14"/>
  <c r="P13" i="14"/>
  <c r="N13" i="14"/>
  <c r="Q12" i="14"/>
  <c r="P12" i="14"/>
  <c r="N12" i="14"/>
  <c r="P11" i="14"/>
  <c r="N11" i="14"/>
  <c r="Q10" i="14"/>
  <c r="P10" i="14"/>
  <c r="N10" i="14"/>
  <c r="F40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AB19" i="15"/>
  <c r="AB18" i="15"/>
  <c r="AC18" i="15"/>
  <c r="AH18" i="15"/>
  <c r="AG18" i="15"/>
  <c r="AF18" i="15"/>
  <c r="AE18" i="15"/>
  <c r="AD15" i="15"/>
  <c r="AD20" i="15" s="1"/>
  <c r="AD19" i="15" s="1"/>
  <c r="AD29" i="15"/>
  <c r="AD31" i="15" s="1"/>
  <c r="AH31" i="15"/>
  <c r="AH30" i="15" s="1"/>
  <c r="AG31" i="15"/>
  <c r="AG30" i="15" s="1"/>
  <c r="AF31" i="15"/>
  <c r="AF30" i="15" s="1"/>
  <c r="AE31" i="15"/>
  <c r="AE30" i="15" s="1"/>
  <c r="B47" i="11"/>
  <c r="B46" i="11"/>
  <c r="B45" i="11"/>
  <c r="B44" i="11"/>
  <c r="Q24" i="11"/>
  <c r="Q32" i="11"/>
  <c r="Y29" i="15"/>
  <c r="Y30" i="15" s="1"/>
  <c r="AA29" i="15"/>
  <c r="AA30" i="15" s="1"/>
  <c r="Z29" i="15"/>
  <c r="Z30" i="15" s="1"/>
  <c r="S35" i="13"/>
  <c r="S32" i="11"/>
  <c r="R32" i="11"/>
  <c r="S31" i="13"/>
  <c r="S24" i="11"/>
  <c r="R24" i="11"/>
  <c r="S23" i="13"/>
  <c r="X23" i="13"/>
  <c r="K24" i="11" s="1"/>
  <c r="AA18" i="20" l="1"/>
  <c r="Y18" i="20"/>
  <c r="J12" i="19"/>
  <c r="I12" i="19"/>
  <c r="J23" i="20"/>
  <c r="C23" i="20"/>
  <c r="V17" i="19"/>
  <c r="L17" i="19"/>
  <c r="L33" i="20"/>
  <c r="K28" i="20"/>
  <c r="AA35" i="20"/>
  <c r="AA25" i="20"/>
  <c r="Y25" i="20"/>
  <c r="Z25" i="20"/>
  <c r="Z30" i="20"/>
  <c r="Y26" i="20"/>
  <c r="I20" i="19"/>
  <c r="J22" i="19"/>
  <c r="X16" i="20"/>
  <c r="V16" i="20"/>
  <c r="O14" i="19"/>
  <c r="X20" i="20"/>
  <c r="W20" i="20"/>
  <c r="V20" i="20"/>
  <c r="X30" i="20"/>
  <c r="C15" i="19"/>
  <c r="B21" i="20"/>
  <c r="L19" i="19"/>
  <c r="J25" i="20"/>
  <c r="C25" i="20"/>
  <c r="V19" i="19"/>
  <c r="L35" i="20"/>
  <c r="K30" i="20"/>
  <c r="J26" i="20"/>
  <c r="I13" i="19"/>
  <c r="AA19" i="20"/>
  <c r="J13" i="19"/>
  <c r="Z19" i="20"/>
  <c r="Y19" i="20"/>
  <c r="AA22" i="20"/>
  <c r="Z22" i="20"/>
  <c r="AA32" i="20"/>
  <c r="Y22" i="20"/>
  <c r="Z27" i="20"/>
  <c r="AA15" i="20"/>
  <c r="Y15" i="20"/>
  <c r="AA20" i="20"/>
  <c r="J14" i="19"/>
  <c r="Z20" i="20"/>
  <c r="I14" i="19"/>
  <c r="Y20" i="20"/>
  <c r="AA30" i="20"/>
  <c r="C22" i="20"/>
  <c r="L16" i="19"/>
  <c r="V16" i="19"/>
  <c r="L32" i="20"/>
  <c r="K27" i="20"/>
  <c r="AA34" i="20"/>
  <c r="AA24" i="20"/>
  <c r="Z24" i="20"/>
  <c r="Y24" i="20"/>
  <c r="Z29" i="20"/>
  <c r="AA23" i="20"/>
  <c r="AA33" i="20"/>
  <c r="Z23" i="20"/>
  <c r="Y23" i="20"/>
  <c r="Z28" i="20"/>
  <c r="J16" i="20"/>
  <c r="C16" i="20"/>
  <c r="V18" i="19"/>
  <c r="L18" i="19"/>
  <c r="C24" i="20"/>
  <c r="J24" i="20"/>
  <c r="L34" i="20"/>
  <c r="K29" i="20"/>
  <c r="X15" i="20"/>
  <c r="V15" i="20"/>
  <c r="AA17" i="20"/>
  <c r="Y17" i="20"/>
  <c r="AA16" i="20"/>
  <c r="Y16" i="20"/>
  <c r="D26" i="20"/>
  <c r="D20" i="19"/>
  <c r="F20" i="19" s="1"/>
  <c r="H20" i="19" s="1"/>
  <c r="K20" i="19"/>
  <c r="O36" i="20"/>
  <c r="N31" i="20"/>
  <c r="M27" i="20"/>
  <c r="O13" i="19"/>
  <c r="X19" i="20"/>
  <c r="V19" i="20"/>
  <c r="X17" i="20"/>
  <c r="V17" i="20"/>
  <c r="C14" i="19"/>
  <c r="B20" i="20"/>
  <c r="J17" i="20"/>
  <c r="C17" i="20"/>
  <c r="R36" i="20"/>
  <c r="Q31" i="20"/>
  <c r="P27" i="20"/>
  <c r="P20" i="19"/>
  <c r="N20" i="19"/>
  <c r="O12" i="19"/>
  <c r="V18" i="20"/>
  <c r="X18" i="20"/>
  <c r="G16" i="20"/>
  <c r="H20" i="20"/>
  <c r="Z21" i="20"/>
  <c r="Y21" i="20"/>
  <c r="AA21" i="20"/>
  <c r="AA31" i="20"/>
  <c r="Z26" i="20"/>
  <c r="Q31" i="11"/>
  <c r="S16" i="11"/>
  <c r="Q39" i="11"/>
  <c r="Q15" i="11"/>
  <c r="Q16" i="11"/>
  <c r="Q28" i="11"/>
  <c r="T16" i="13"/>
  <c r="M39" i="11"/>
  <c r="S15" i="13"/>
  <c r="W41" i="13"/>
  <c r="S25" i="20"/>
  <c r="U25" i="20"/>
  <c r="S26" i="20"/>
  <c r="Q46" i="16"/>
  <c r="S16" i="20"/>
  <c r="U26" i="20"/>
  <c r="T21" i="20"/>
  <c r="T26" i="20"/>
  <c r="T28" i="20"/>
  <c r="S15" i="20"/>
  <c r="U17" i="20"/>
  <c r="T17" i="20"/>
  <c r="S17" i="20"/>
  <c r="U27" i="20"/>
  <c r="O15" i="19"/>
  <c r="J15" i="19"/>
  <c r="J16" i="19"/>
  <c r="I15" i="19"/>
  <c r="X21" i="20"/>
  <c r="X31" i="20"/>
  <c r="W21" i="20"/>
  <c r="J17" i="19"/>
  <c r="V21" i="20"/>
  <c r="W26" i="20"/>
  <c r="I16" i="19"/>
  <c r="J18" i="19"/>
  <c r="X22" i="20"/>
  <c r="X32" i="20"/>
  <c r="W22" i="20"/>
  <c r="V22" i="20"/>
  <c r="O16" i="19"/>
  <c r="W27" i="20"/>
  <c r="V24" i="20"/>
  <c r="I18" i="19"/>
  <c r="W29" i="20"/>
  <c r="X34" i="20"/>
  <c r="W24" i="20"/>
  <c r="O18" i="19"/>
  <c r="J20" i="19"/>
  <c r="X24" i="20"/>
  <c r="O17" i="19"/>
  <c r="X23" i="20"/>
  <c r="W23" i="20"/>
  <c r="V23" i="20"/>
  <c r="J19" i="19"/>
  <c r="X33" i="20"/>
  <c r="I17" i="19"/>
  <c r="W28" i="20"/>
  <c r="O19" i="19"/>
  <c r="J21" i="19"/>
  <c r="W30" i="20"/>
  <c r="X25" i="20"/>
  <c r="I19" i="19"/>
  <c r="X35" i="20"/>
  <c r="W25" i="20"/>
  <c r="V25" i="20"/>
  <c r="V26" i="20"/>
  <c r="U24" i="20"/>
  <c r="S24" i="20"/>
  <c r="X20" i="13"/>
  <c r="K21" i="11" s="1"/>
  <c r="Z18" i="15"/>
  <c r="AJ29" i="15"/>
  <c r="T25" i="13"/>
  <c r="S26" i="11"/>
  <c r="S17" i="13"/>
  <c r="Q47" i="16"/>
  <c r="W47" i="16" s="1"/>
  <c r="K25" i="13"/>
  <c r="M41" i="11"/>
  <c r="M17" i="11"/>
  <c r="Q29" i="11"/>
  <c r="W15" i="13"/>
  <c r="M42" i="11"/>
  <c r="M36" i="11"/>
  <c r="M45" i="11"/>
  <c r="Q21" i="11"/>
  <c r="X28" i="13"/>
  <c r="K29" i="11" s="1"/>
  <c r="Q45" i="11"/>
  <c r="Q37" i="11"/>
  <c r="R13" i="11"/>
  <c r="W46" i="13"/>
  <c r="M18" i="11"/>
  <c r="Q42" i="11"/>
  <c r="T20" i="13"/>
  <c r="W21" i="13" s="1"/>
  <c r="W35" i="13"/>
  <c r="Q45" i="14"/>
  <c r="O20" i="15"/>
  <c r="Q19" i="11"/>
  <c r="K20" i="13"/>
  <c r="M46" i="11"/>
  <c r="M22" i="11"/>
  <c r="W33" i="13"/>
  <c r="S28" i="13"/>
  <c r="R21" i="11"/>
  <c r="S21" i="11"/>
  <c r="Q44" i="16"/>
  <c r="P19" i="15"/>
  <c r="W39" i="13"/>
  <c r="W37" i="13"/>
  <c r="W25" i="13"/>
  <c r="W10" i="13"/>
  <c r="G47" i="11"/>
  <c r="G46" i="11"/>
  <c r="Q41" i="11"/>
  <c r="Q18" i="11"/>
  <c r="W42" i="13"/>
  <c r="G44" i="11"/>
  <c r="W32" i="13"/>
  <c r="S44" i="10"/>
  <c r="Q46" i="14"/>
  <c r="Q44" i="14"/>
  <c r="N37" i="14"/>
  <c r="R47" i="12"/>
  <c r="X47" i="12" s="1"/>
  <c r="P46" i="14"/>
  <c r="T31" i="11"/>
  <c r="U31" i="11"/>
  <c r="T39" i="11"/>
  <c r="U39" i="11"/>
  <c r="T47" i="11"/>
  <c r="U47" i="11"/>
  <c r="T36" i="11"/>
  <c r="U36" i="11"/>
  <c r="T40" i="11"/>
  <c r="U40" i="11"/>
  <c r="T33" i="11"/>
  <c r="U33" i="11"/>
  <c r="T37" i="11"/>
  <c r="U37" i="11"/>
  <c r="T41" i="11"/>
  <c r="U41" i="11"/>
  <c r="T45" i="11"/>
  <c r="U45" i="11"/>
  <c r="T35" i="11"/>
  <c r="U35" i="11"/>
  <c r="T43" i="11"/>
  <c r="U43" i="11"/>
  <c r="T32" i="11"/>
  <c r="U32" i="11"/>
  <c r="T44" i="11"/>
  <c r="U44" i="11"/>
  <c r="T34" i="11"/>
  <c r="U34" i="11"/>
  <c r="T38" i="11"/>
  <c r="U38" i="11"/>
  <c r="T42" i="11"/>
  <c r="U42" i="11"/>
  <c r="T46" i="11"/>
  <c r="U46" i="11"/>
  <c r="S33" i="13"/>
  <c r="S34" i="11"/>
  <c r="R34" i="11"/>
  <c r="R41" i="12"/>
  <c r="X41" i="12" s="1"/>
  <c r="Q10" i="11"/>
  <c r="S36" i="13"/>
  <c r="L37" i="11" s="1"/>
  <c r="M19" i="11"/>
  <c r="Q26" i="11"/>
  <c r="M43" i="11"/>
  <c r="M33" i="11"/>
  <c r="R12" i="12"/>
  <c r="X12" i="12" s="1"/>
  <c r="K17" i="13"/>
  <c r="T17" i="13"/>
  <c r="W18" i="13" s="1"/>
  <c r="R37" i="11"/>
  <c r="M40" i="11"/>
  <c r="M44" i="11"/>
  <c r="M16" i="11"/>
  <c r="M20" i="11"/>
  <c r="M30" i="11"/>
  <c r="M34" i="11"/>
  <c r="M38" i="11"/>
  <c r="Q19" i="15"/>
  <c r="Q22" i="11"/>
  <c r="M47" i="11"/>
  <c r="M37" i="11"/>
  <c r="R40" i="12"/>
  <c r="X40" i="12" s="1"/>
  <c r="Q44" i="11"/>
  <c r="Q34" i="11"/>
  <c r="N34" i="14"/>
  <c r="N31" i="14"/>
  <c r="S20" i="13"/>
  <c r="L21" i="11" s="1"/>
  <c r="R29" i="11"/>
  <c r="X26" i="13"/>
  <c r="K27" i="11" s="1"/>
  <c r="X10" i="13"/>
  <c r="K11" i="11" s="1"/>
  <c r="M21" i="11"/>
  <c r="M31" i="11"/>
  <c r="M35" i="11"/>
  <c r="Q13" i="11"/>
  <c r="S12" i="13"/>
  <c r="M12" i="11"/>
  <c r="S12" i="11"/>
  <c r="X12" i="13"/>
  <c r="K13" i="11" s="1"/>
  <c r="S11" i="13"/>
  <c r="Q12" i="11"/>
  <c r="M13" i="11"/>
  <c r="M14" i="11"/>
  <c r="M15" i="11"/>
  <c r="M11" i="11"/>
  <c r="U21" i="15"/>
  <c r="U20" i="15" s="1"/>
  <c r="U19" i="10"/>
  <c r="B49" i="11"/>
  <c r="X21" i="13"/>
  <c r="K22" i="11" s="1"/>
  <c r="O41" i="14"/>
  <c r="U21" i="20" s="1"/>
  <c r="W13" i="13"/>
  <c r="Q51" i="14"/>
  <c r="R20" i="15"/>
  <c r="AF13" i="15"/>
  <c r="R13" i="12"/>
  <c r="X13" i="12" s="1"/>
  <c r="R28" i="11"/>
  <c r="Q30" i="11"/>
  <c r="Q20" i="11"/>
  <c r="Q14" i="11"/>
  <c r="Q47" i="14"/>
  <c r="W12" i="13"/>
  <c r="T27" i="13"/>
  <c r="W28" i="13" s="1"/>
  <c r="S38" i="13"/>
  <c r="AA18" i="15"/>
  <c r="R20" i="11"/>
  <c r="S36" i="11"/>
  <c r="AD18" i="15"/>
  <c r="S20" i="11"/>
  <c r="S28" i="11"/>
  <c r="X36" i="13"/>
  <c r="K37" i="11" s="1"/>
  <c r="G45" i="11"/>
  <c r="Q36" i="11"/>
  <c r="Q27" i="11"/>
  <c r="Q11" i="11"/>
  <c r="Q46" i="11"/>
  <c r="S45" i="10"/>
  <c r="W11" i="13"/>
  <c r="W45" i="13"/>
  <c r="R39" i="11"/>
  <c r="X44" i="13"/>
  <c r="K45" i="11" s="1"/>
  <c r="O31" i="14"/>
  <c r="Q31" i="14" s="1"/>
  <c r="Q27" i="13"/>
  <c r="AB13" i="15"/>
  <c r="S27" i="13"/>
  <c r="Q23" i="11"/>
  <c r="P47" i="14"/>
  <c r="W40" i="13"/>
  <c r="W34" i="13"/>
  <c r="O35" i="14"/>
  <c r="S33" i="10" s="1"/>
  <c r="S19" i="15"/>
  <c r="S21" i="15"/>
  <c r="W36" i="13"/>
  <c r="W43" i="13"/>
  <c r="W19" i="13"/>
  <c r="W22" i="13"/>
  <c r="W23" i="13"/>
  <c r="S41" i="11"/>
  <c r="R41" i="11"/>
  <c r="S40" i="13"/>
  <c r="Q38" i="11"/>
  <c r="R37" i="13"/>
  <c r="S31" i="11"/>
  <c r="X31" i="13"/>
  <c r="K32" i="11" s="1"/>
  <c r="S30" i="13"/>
  <c r="L32" i="11" s="1"/>
  <c r="R31" i="11"/>
  <c r="R24" i="13"/>
  <c r="R25" i="11" s="1"/>
  <c r="Q25" i="11"/>
  <c r="S15" i="11"/>
  <c r="X15" i="13"/>
  <c r="K16" i="11" s="1"/>
  <c r="S14" i="13"/>
  <c r="R15" i="11"/>
  <c r="AJ31" i="15"/>
  <c r="AI30" i="15"/>
  <c r="Q47" i="13"/>
  <c r="E47" i="13"/>
  <c r="T47" i="13" s="1"/>
  <c r="Q45" i="16"/>
  <c r="R39" i="12"/>
  <c r="X39" i="12" s="1"/>
  <c r="R11" i="12"/>
  <c r="X11" i="12" s="1"/>
  <c r="P45" i="14"/>
  <c r="O38" i="14"/>
  <c r="U36" i="10" s="1"/>
  <c r="N38" i="14"/>
  <c r="N36" i="14"/>
  <c r="W30" i="13"/>
  <c r="W31" i="13"/>
  <c r="R44" i="11"/>
  <c r="S43" i="13"/>
  <c r="S44" i="11"/>
  <c r="X29" i="13"/>
  <c r="K30" i="11" s="1"/>
  <c r="S30" i="11"/>
  <c r="X30" i="13"/>
  <c r="K31" i="11" s="1"/>
  <c r="S29" i="13"/>
  <c r="S18" i="11"/>
  <c r="X18" i="13"/>
  <c r="K19" i="11" s="1"/>
  <c r="R18" i="11"/>
  <c r="T26" i="13"/>
  <c r="R27" i="11"/>
  <c r="Q26" i="13"/>
  <c r="M27" i="11" s="1"/>
  <c r="K26" i="13"/>
  <c r="K46" i="10"/>
  <c r="V48" i="11"/>
  <c r="L46" i="10"/>
  <c r="J46" i="10"/>
  <c r="C46" i="10"/>
  <c r="M48" i="16"/>
  <c r="W24" i="13"/>
  <c r="W38" i="13"/>
  <c r="R42" i="13"/>
  <c r="S42" i="13" s="1"/>
  <c r="Q43" i="11"/>
  <c r="R32" i="13"/>
  <c r="Q33" i="11"/>
  <c r="S23" i="11"/>
  <c r="S22" i="13"/>
  <c r="L24" i="11" s="1"/>
  <c r="R16" i="13"/>
  <c r="Q17" i="11"/>
  <c r="K24" i="13"/>
  <c r="Q24" i="13"/>
  <c r="M25" i="11" s="1"/>
  <c r="T19" i="15"/>
  <c r="T21" i="15"/>
  <c r="C48" i="11"/>
  <c r="G46" i="10"/>
  <c r="F46" i="10" s="1"/>
  <c r="I46" i="10"/>
  <c r="B46" i="10"/>
  <c r="G47" i="10"/>
  <c r="F47" i="10" s="1"/>
  <c r="H46" i="10"/>
  <c r="R39" i="13"/>
  <c r="Q40" i="11"/>
  <c r="S27" i="11"/>
  <c r="X27" i="13"/>
  <c r="K28" i="11" s="1"/>
  <c r="S26" i="13"/>
  <c r="L28" i="11" s="1"/>
  <c r="X13" i="13"/>
  <c r="K14" i="11" s="1"/>
  <c r="S14" i="11"/>
  <c r="X14" i="13"/>
  <c r="K15" i="11" s="1"/>
  <c r="S13" i="13"/>
  <c r="S11" i="11"/>
  <c r="R11" i="11"/>
  <c r="X11" i="13"/>
  <c r="K12" i="11" s="1"/>
  <c r="S10" i="13"/>
  <c r="Q47" i="11"/>
  <c r="R46" i="13"/>
  <c r="X46" i="13" s="1"/>
  <c r="K47" i="11" s="1"/>
  <c r="R14" i="11"/>
  <c r="W16" i="13"/>
  <c r="S45" i="11"/>
  <c r="R45" i="11"/>
  <c r="S44" i="13"/>
  <c r="R34" i="13"/>
  <c r="Q35" i="11"/>
  <c r="S25" i="13"/>
  <c r="R26" i="11"/>
  <c r="R22" i="11"/>
  <c r="S21" i="13"/>
  <c r="S22" i="11"/>
  <c r="X22" i="13"/>
  <c r="K23" i="11" s="1"/>
  <c r="S19" i="11"/>
  <c r="R19" i="11"/>
  <c r="S18" i="13"/>
  <c r="L20" i="11" s="1"/>
  <c r="X19" i="13"/>
  <c r="K20" i="11" s="1"/>
  <c r="S9" i="13"/>
  <c r="X9" i="13"/>
  <c r="K10" i="11" s="1"/>
  <c r="R10" i="11"/>
  <c r="K22" i="13"/>
  <c r="Q22" i="13"/>
  <c r="M23" i="11" s="1"/>
  <c r="R23" i="11"/>
  <c r="P41" i="14"/>
  <c r="T44" i="10"/>
  <c r="AG13" i="15"/>
  <c r="L47" i="10"/>
  <c r="V49" i="11"/>
  <c r="K47" i="10"/>
  <c r="C47" i="10"/>
  <c r="J47" i="10"/>
  <c r="M49" i="16"/>
  <c r="W44" i="13"/>
  <c r="O39" i="14"/>
  <c r="P39" i="14" s="1"/>
  <c r="AC13" i="15"/>
  <c r="AD13" i="15"/>
  <c r="T14" i="15"/>
  <c r="B42" i="10"/>
  <c r="C44" i="11"/>
  <c r="C45" i="11"/>
  <c r="B43" i="10"/>
  <c r="AA47" i="10"/>
  <c r="I49" i="11"/>
  <c r="J49" i="11"/>
  <c r="Z47" i="10"/>
  <c r="Y47" i="10"/>
  <c r="Q54" i="14"/>
  <c r="N50" i="14"/>
  <c r="I48" i="11"/>
  <c r="Z46" i="10"/>
  <c r="O48" i="11"/>
  <c r="AA46" i="10"/>
  <c r="Y46" i="10"/>
  <c r="J48" i="11"/>
  <c r="O49" i="16"/>
  <c r="L29" i="11"/>
  <c r="N35" i="14"/>
  <c r="N44" i="14"/>
  <c r="Z20" i="15"/>
  <c r="Z13" i="15" s="1"/>
  <c r="N32" i="14"/>
  <c r="O40" i="14"/>
  <c r="Q40" i="14" s="1"/>
  <c r="T48" i="13"/>
  <c r="AH13" i="15"/>
  <c r="W47" i="10"/>
  <c r="X47" i="10"/>
  <c r="V47" i="10"/>
  <c r="O49" i="11"/>
  <c r="AE19" i="15"/>
  <c r="R13" i="15"/>
  <c r="P21" i="15"/>
  <c r="Y13" i="15"/>
  <c r="Y19" i="15"/>
  <c r="AJ15" i="15"/>
  <c r="AI13" i="15"/>
  <c r="S14" i="15"/>
  <c r="Q21" i="15"/>
  <c r="Y18" i="15"/>
  <c r="AJ18" i="15" s="1"/>
  <c r="AA13" i="15"/>
  <c r="U32" i="10"/>
  <c r="T32" i="10"/>
  <c r="Q34" i="14"/>
  <c r="P34" i="14"/>
  <c r="P51" i="14"/>
  <c r="R45" i="12"/>
  <c r="X45" i="12" s="1"/>
  <c r="N41" i="14"/>
  <c r="O33" i="14"/>
  <c r="T31" i="10" s="1"/>
  <c r="N52" i="14"/>
  <c r="R19" i="12"/>
  <c r="X19" i="12" s="1"/>
  <c r="Q53" i="14"/>
  <c r="S43" i="10"/>
  <c r="P44" i="14"/>
  <c r="Q11" i="14"/>
  <c r="N42" i="14"/>
  <c r="O32" i="14"/>
  <c r="T30" i="10" s="1"/>
  <c r="O43" i="14"/>
  <c r="U23" i="20" s="1"/>
  <c r="O36" i="14"/>
  <c r="U44" i="10" s="1"/>
  <c r="R17" i="12"/>
  <c r="X17" i="12" s="1"/>
  <c r="R49" i="12"/>
  <c r="X49" i="12" s="1"/>
  <c r="F42" i="12"/>
  <c r="P46" i="12"/>
  <c r="J47" i="12"/>
  <c r="O13" i="15"/>
  <c r="Q12" i="12"/>
  <c r="W12" i="12" s="1"/>
  <c r="L12" i="12"/>
  <c r="N12" i="12" s="1"/>
  <c r="P12" i="12"/>
  <c r="J18" i="12"/>
  <c r="Q18" i="12" s="1"/>
  <c r="W18" i="12" s="1"/>
  <c r="F44" i="12"/>
  <c r="J16" i="12"/>
  <c r="Q16" i="12" s="1"/>
  <c r="W16" i="12" s="1"/>
  <c r="P16" i="12"/>
  <c r="L13" i="12"/>
  <c r="N13" i="12" s="1"/>
  <c r="Q13" i="12"/>
  <c r="W13" i="12" s="1"/>
  <c r="L17" i="12"/>
  <c r="N17" i="12" s="1"/>
  <c r="P19" i="12"/>
  <c r="F39" i="12"/>
  <c r="C15" i="20" s="1"/>
  <c r="F43" i="12"/>
  <c r="P17" i="12"/>
  <c r="F45" i="12"/>
  <c r="F11" i="12"/>
  <c r="J11" i="12" s="1"/>
  <c r="J14" i="12"/>
  <c r="P14" i="12"/>
  <c r="J41" i="12"/>
  <c r="L41" i="12" s="1"/>
  <c r="N41" i="12" s="1"/>
  <c r="P41" i="12"/>
  <c r="L15" i="12"/>
  <c r="N15" i="12" s="1"/>
  <c r="Q15" i="12"/>
  <c r="W15" i="12" s="1"/>
  <c r="P40" i="12"/>
  <c r="P15" i="12"/>
  <c r="P13" i="12"/>
  <c r="P47" i="12"/>
  <c r="J46" i="12"/>
  <c r="L19" i="12"/>
  <c r="N19" i="12" s="1"/>
  <c r="R42" i="11"/>
  <c r="S41" i="13"/>
  <c r="S42" i="11"/>
  <c r="X41" i="13"/>
  <c r="K42" i="11" s="1"/>
  <c r="S45" i="13"/>
  <c r="S46" i="11"/>
  <c r="X45" i="13"/>
  <c r="K46" i="11" s="1"/>
  <c r="R46" i="11"/>
  <c r="AD30" i="15"/>
  <c r="N33" i="14"/>
  <c r="U30" i="10"/>
  <c r="N39" i="14"/>
  <c r="N43" i="14"/>
  <c r="J49" i="12"/>
  <c r="W19" i="19" s="1"/>
  <c r="M19" i="19" s="1"/>
  <c r="N40" i="14"/>
  <c r="J48" i="12"/>
  <c r="W18" i="19" s="1"/>
  <c r="M18" i="19" s="1"/>
  <c r="J40" i="12"/>
  <c r="L40" i="12" s="1"/>
  <c r="N40" i="12" s="1"/>
  <c r="G48" i="13"/>
  <c r="R20" i="12"/>
  <c r="X20" i="12" s="1"/>
  <c r="P55" i="14"/>
  <c r="R48" i="12"/>
  <c r="X48" i="12" s="1"/>
  <c r="O50" i="14"/>
  <c r="S21" i="20" s="1"/>
  <c r="N48" i="16"/>
  <c r="O48" i="16" s="1"/>
  <c r="N55" i="14"/>
  <c r="R21" i="12"/>
  <c r="X21" i="12" s="1"/>
  <c r="Q55" i="14"/>
  <c r="P49" i="12"/>
  <c r="Q21" i="12"/>
  <c r="W21" i="12" s="1"/>
  <c r="L21" i="12"/>
  <c r="N21" i="12" s="1"/>
  <c r="P21" i="12"/>
  <c r="F44" i="11"/>
  <c r="F46" i="11"/>
  <c r="F45" i="11"/>
  <c r="F47" i="11"/>
  <c r="R16" i="12"/>
  <c r="X16" i="12" s="1"/>
  <c r="Q42" i="14"/>
  <c r="T45" i="10"/>
  <c r="T40" i="10"/>
  <c r="P42" i="14"/>
  <c r="S40" i="10"/>
  <c r="P37" i="14"/>
  <c r="Q37" i="14"/>
  <c r="U45" i="10"/>
  <c r="U35" i="10"/>
  <c r="U42" i="10"/>
  <c r="P54" i="14"/>
  <c r="O52" i="14"/>
  <c r="P53" i="14"/>
  <c r="P48" i="12"/>
  <c r="J20" i="12"/>
  <c r="P20" i="12"/>
  <c r="C18" i="20" l="1"/>
  <c r="J18" i="20"/>
  <c r="V12" i="19"/>
  <c r="U18" i="19"/>
  <c r="T18" i="19"/>
  <c r="M17" i="20"/>
  <c r="D17" i="20"/>
  <c r="J44" i="12"/>
  <c r="K20" i="20"/>
  <c r="J20" i="20"/>
  <c r="C20" i="20"/>
  <c r="L14" i="19"/>
  <c r="V14" i="19"/>
  <c r="D16" i="20"/>
  <c r="U19" i="19"/>
  <c r="T19" i="19"/>
  <c r="L46" i="12"/>
  <c r="N46" i="12" s="1"/>
  <c r="Q46" i="12" s="1"/>
  <c r="W46" i="12" s="1"/>
  <c r="W16" i="19"/>
  <c r="M16" i="19" s="1"/>
  <c r="C19" i="20"/>
  <c r="V13" i="19"/>
  <c r="L13" i="19"/>
  <c r="J19" i="20"/>
  <c r="L47" i="12"/>
  <c r="N47" i="12" s="1"/>
  <c r="W17" i="19"/>
  <c r="M17" i="19" s="1"/>
  <c r="V15" i="19"/>
  <c r="K21" i="20"/>
  <c r="C21" i="20"/>
  <c r="J21" i="20"/>
  <c r="L15" i="19"/>
  <c r="U17" i="19"/>
  <c r="T17" i="19"/>
  <c r="T16" i="19"/>
  <c r="U16" i="19"/>
  <c r="H44" i="11"/>
  <c r="W20" i="13"/>
  <c r="X42" i="13"/>
  <c r="K43" i="11" s="1"/>
  <c r="L31" i="11"/>
  <c r="L16" i="11"/>
  <c r="R43" i="11"/>
  <c r="S43" i="11"/>
  <c r="T15" i="20"/>
  <c r="Q50" i="14"/>
  <c r="U20" i="20"/>
  <c r="T20" i="20"/>
  <c r="S22" i="20"/>
  <c r="U22" i="20"/>
  <c r="T22" i="20"/>
  <c r="T27" i="20"/>
  <c r="U15" i="20"/>
  <c r="T16" i="20"/>
  <c r="U16" i="20"/>
  <c r="S23" i="20"/>
  <c r="T25" i="20"/>
  <c r="S37" i="10"/>
  <c r="U38" i="10"/>
  <c r="X43" i="13"/>
  <c r="K44" i="11" s="1"/>
  <c r="Q38" i="14"/>
  <c r="U13" i="15"/>
  <c r="S36" i="10"/>
  <c r="P38" i="14"/>
  <c r="L23" i="11"/>
  <c r="L15" i="11"/>
  <c r="P33" i="14"/>
  <c r="H46" i="11"/>
  <c r="H47" i="11"/>
  <c r="L13" i="11"/>
  <c r="P20" i="15"/>
  <c r="W17" i="13"/>
  <c r="T37" i="10"/>
  <c r="T43" i="10"/>
  <c r="T29" i="10"/>
  <c r="Q39" i="14"/>
  <c r="P40" i="14"/>
  <c r="U29" i="10"/>
  <c r="U37" i="10"/>
  <c r="P31" i="14"/>
  <c r="Q43" i="14"/>
  <c r="S38" i="10"/>
  <c r="T42" i="10"/>
  <c r="U39" i="10"/>
  <c r="S41" i="10"/>
  <c r="T41" i="10"/>
  <c r="S39" i="10"/>
  <c r="S42" i="10"/>
  <c r="P43" i="14"/>
  <c r="T48" i="11"/>
  <c r="U48" i="11"/>
  <c r="T49" i="11"/>
  <c r="U49" i="11"/>
  <c r="R44" i="12"/>
  <c r="X44" i="12" s="1"/>
  <c r="U43" i="10"/>
  <c r="L27" i="11"/>
  <c r="M26" i="11"/>
  <c r="M24" i="11"/>
  <c r="T38" i="10"/>
  <c r="T33" i="10"/>
  <c r="L44" i="11"/>
  <c r="Q35" i="14"/>
  <c r="M28" i="11"/>
  <c r="M29" i="11"/>
  <c r="U33" i="10"/>
  <c r="Q20" i="15"/>
  <c r="L12" i="11"/>
  <c r="L11" i="11"/>
  <c r="L14" i="11"/>
  <c r="S13" i="15"/>
  <c r="Z19" i="15"/>
  <c r="T13" i="15"/>
  <c r="Q41" i="14"/>
  <c r="H45" i="11"/>
  <c r="Q13" i="15"/>
  <c r="S20" i="15"/>
  <c r="P35" i="14"/>
  <c r="P13" i="15"/>
  <c r="U41" i="10"/>
  <c r="S32" i="10"/>
  <c r="S47" i="11"/>
  <c r="S46" i="13"/>
  <c r="L47" i="11" s="1"/>
  <c r="R47" i="11"/>
  <c r="L30" i="11"/>
  <c r="S25" i="11"/>
  <c r="S24" i="13"/>
  <c r="X25" i="13"/>
  <c r="K26" i="11" s="1"/>
  <c r="X24" i="13"/>
  <c r="K25" i="11" s="1"/>
  <c r="S35" i="11"/>
  <c r="X35" i="13"/>
  <c r="K36" i="11" s="1"/>
  <c r="R35" i="11"/>
  <c r="S34" i="13"/>
  <c r="X34" i="13"/>
  <c r="K35" i="11" s="1"/>
  <c r="S17" i="11"/>
  <c r="R17" i="11"/>
  <c r="S16" i="13"/>
  <c r="X16" i="13"/>
  <c r="K17" i="11" s="1"/>
  <c r="X17" i="13"/>
  <c r="K18" i="11" s="1"/>
  <c r="W26" i="13"/>
  <c r="W27" i="13"/>
  <c r="R38" i="11"/>
  <c r="S37" i="13"/>
  <c r="S38" i="11"/>
  <c r="X37" i="13"/>
  <c r="K38" i="11" s="1"/>
  <c r="X38" i="13"/>
  <c r="K39" i="11" s="1"/>
  <c r="Q33" i="14"/>
  <c r="T36" i="10"/>
  <c r="L43" i="11"/>
  <c r="P49" i="16"/>
  <c r="V49" i="16" s="1"/>
  <c r="W49" i="11"/>
  <c r="D47" i="10"/>
  <c r="D49" i="11"/>
  <c r="N47" i="10"/>
  <c r="M47" i="10"/>
  <c r="O47" i="10"/>
  <c r="L46" i="11"/>
  <c r="R40" i="11"/>
  <c r="S39" i="13"/>
  <c r="S40" i="11"/>
  <c r="X39" i="13"/>
  <c r="K40" i="11" s="1"/>
  <c r="X40" i="13"/>
  <c r="K41" i="11" s="1"/>
  <c r="T20" i="15"/>
  <c r="L45" i="11"/>
  <c r="L22" i="11"/>
  <c r="R33" i="11"/>
  <c r="S32" i="13"/>
  <c r="X33" i="13"/>
  <c r="K34" i="11" s="1"/>
  <c r="X32" i="13"/>
  <c r="K33" i="11" s="1"/>
  <c r="S33" i="11"/>
  <c r="S35" i="10"/>
  <c r="U31" i="10"/>
  <c r="D48" i="11"/>
  <c r="O46" i="10"/>
  <c r="W48" i="11"/>
  <c r="M46" i="10"/>
  <c r="N46" i="10"/>
  <c r="D46" i="10"/>
  <c r="P48" i="16"/>
  <c r="V48" i="16" s="1"/>
  <c r="G47" i="13"/>
  <c r="U48" i="13" s="1"/>
  <c r="E49" i="11" s="1"/>
  <c r="B48" i="11"/>
  <c r="L42" i="11"/>
  <c r="L19" i="11"/>
  <c r="L18" i="12"/>
  <c r="N18" i="12" s="1"/>
  <c r="P44" i="12"/>
  <c r="S30" i="10"/>
  <c r="Q32" i="14"/>
  <c r="P32" i="14"/>
  <c r="T35" i="10"/>
  <c r="U40" i="10"/>
  <c r="P36" i="14"/>
  <c r="T34" i="10"/>
  <c r="S34" i="10"/>
  <c r="Q36" i="14"/>
  <c r="T39" i="10"/>
  <c r="S31" i="10"/>
  <c r="P50" i="14"/>
  <c r="U34" i="10"/>
  <c r="P42" i="12"/>
  <c r="J42" i="12"/>
  <c r="J45" i="12"/>
  <c r="P11" i="12"/>
  <c r="P39" i="12"/>
  <c r="J39" i="12"/>
  <c r="L39" i="12" s="1"/>
  <c r="N39" i="12" s="1"/>
  <c r="D15" i="20" s="1"/>
  <c r="L16" i="12"/>
  <c r="N16" i="12" s="1"/>
  <c r="P45" i="12"/>
  <c r="P43" i="12"/>
  <c r="J43" i="12"/>
  <c r="W13" i="19" s="1"/>
  <c r="M13" i="19" s="1"/>
  <c r="Q14" i="12"/>
  <c r="W14" i="12" s="1"/>
  <c r="L14" i="12"/>
  <c r="N14" i="12" s="1"/>
  <c r="Q41" i="12"/>
  <c r="W41" i="12" s="1"/>
  <c r="P17" i="20" s="1"/>
  <c r="O48" i="14"/>
  <c r="N48" i="14"/>
  <c r="Q49" i="12"/>
  <c r="W49" i="12" s="1"/>
  <c r="L48" i="12"/>
  <c r="N48" i="12" s="1"/>
  <c r="Q48" i="12"/>
  <c r="W48" i="12" s="1"/>
  <c r="L49" i="12"/>
  <c r="N49" i="12" s="1"/>
  <c r="W47" i="13"/>
  <c r="W48" i="13"/>
  <c r="P48" i="13"/>
  <c r="Q49" i="11"/>
  <c r="Q40" i="12"/>
  <c r="W40" i="12" s="1"/>
  <c r="L11" i="12"/>
  <c r="N11" i="12" s="1"/>
  <c r="Q11" i="12"/>
  <c r="W11" i="12" s="1"/>
  <c r="R46" i="12"/>
  <c r="X46" i="12" s="1"/>
  <c r="R18" i="12"/>
  <c r="X18" i="12" s="1"/>
  <c r="P52" i="14"/>
  <c r="Q52" i="14"/>
  <c r="Q20" i="12"/>
  <c r="W20" i="12" s="1"/>
  <c r="L20" i="12"/>
  <c r="N20" i="12" s="1"/>
  <c r="D17" i="19" l="1"/>
  <c r="F17" i="19" s="1"/>
  <c r="H17" i="19" s="1"/>
  <c r="M23" i="20"/>
  <c r="D23" i="20"/>
  <c r="K17" i="19"/>
  <c r="O33" i="20"/>
  <c r="N28" i="20"/>
  <c r="U15" i="19"/>
  <c r="T15" i="19"/>
  <c r="R32" i="20"/>
  <c r="Q27" i="20"/>
  <c r="P16" i="19"/>
  <c r="N16" i="19"/>
  <c r="D22" i="20"/>
  <c r="D16" i="19"/>
  <c r="F16" i="19" s="1"/>
  <c r="H16" i="19" s="1"/>
  <c r="K16" i="19"/>
  <c r="O32" i="20"/>
  <c r="N27" i="20"/>
  <c r="Q47" i="12"/>
  <c r="W47" i="12" s="1"/>
  <c r="U12" i="19"/>
  <c r="T12" i="19"/>
  <c r="U14" i="19"/>
  <c r="T14" i="19"/>
  <c r="M16" i="20"/>
  <c r="U13" i="19"/>
  <c r="T13" i="19"/>
  <c r="L45" i="12"/>
  <c r="N45" i="12" s="1"/>
  <c r="W15" i="19"/>
  <c r="P25" i="20"/>
  <c r="R35" i="20"/>
  <c r="Q30" i="20"/>
  <c r="P26" i="20"/>
  <c r="P19" i="19"/>
  <c r="N19" i="19"/>
  <c r="D19" i="19"/>
  <c r="F19" i="19" s="1"/>
  <c r="H19" i="19" s="1"/>
  <c r="D25" i="20"/>
  <c r="M25" i="20"/>
  <c r="K19" i="19"/>
  <c r="O35" i="20"/>
  <c r="N30" i="20"/>
  <c r="M26" i="20"/>
  <c r="L44" i="12"/>
  <c r="N44" i="12" s="1"/>
  <c r="W14" i="19"/>
  <c r="M14" i="19" s="1"/>
  <c r="R34" i="20"/>
  <c r="Q29" i="20"/>
  <c r="N18" i="19"/>
  <c r="P18" i="19"/>
  <c r="K18" i="19"/>
  <c r="D18" i="19"/>
  <c r="F18" i="19" s="1"/>
  <c r="H18" i="19" s="1"/>
  <c r="M24" i="20"/>
  <c r="D24" i="20"/>
  <c r="O34" i="20"/>
  <c r="N29" i="20"/>
  <c r="L42" i="12"/>
  <c r="N42" i="12" s="1"/>
  <c r="W12" i="19"/>
  <c r="M12" i="19" s="1"/>
  <c r="U18" i="20"/>
  <c r="S18" i="20"/>
  <c r="T18" i="20"/>
  <c r="U28" i="20"/>
  <c r="T23" i="20"/>
  <c r="L41" i="11"/>
  <c r="L40" i="11"/>
  <c r="L39" i="11"/>
  <c r="L38" i="11"/>
  <c r="L26" i="11"/>
  <c r="L25" i="11"/>
  <c r="Q48" i="11"/>
  <c r="P47" i="13"/>
  <c r="V48" i="13" s="1"/>
  <c r="G49" i="11" s="1"/>
  <c r="U47" i="13"/>
  <c r="E48" i="11" s="1"/>
  <c r="F48" i="11" s="1"/>
  <c r="L34" i="11"/>
  <c r="L33" i="11"/>
  <c r="Q46" i="10"/>
  <c r="P48" i="11"/>
  <c r="P46" i="10"/>
  <c r="R46" i="10"/>
  <c r="N48" i="11"/>
  <c r="P47" i="10"/>
  <c r="N49" i="11"/>
  <c r="R47" i="10"/>
  <c r="P49" i="11"/>
  <c r="Q47" i="10"/>
  <c r="L18" i="11"/>
  <c r="L17" i="11"/>
  <c r="L36" i="11"/>
  <c r="L35" i="11"/>
  <c r="Q48" i="16"/>
  <c r="W48" i="16" s="1"/>
  <c r="L43" i="12"/>
  <c r="N43" i="12" s="1"/>
  <c r="Q39" i="12"/>
  <c r="R42" i="12"/>
  <c r="X42" i="12" s="1"/>
  <c r="U46" i="10"/>
  <c r="T46" i="10"/>
  <c r="P48" i="14"/>
  <c r="Q48" i="14"/>
  <c r="S46" i="10"/>
  <c r="R14" i="12"/>
  <c r="X14" i="12" s="1"/>
  <c r="R48" i="13"/>
  <c r="O49" i="14"/>
  <c r="N49" i="14"/>
  <c r="F49" i="11"/>
  <c r="D21" i="20" l="1"/>
  <c r="N21" i="20"/>
  <c r="M21" i="20"/>
  <c r="D15" i="19"/>
  <c r="F15" i="19" s="1"/>
  <c r="H15" i="19" s="1"/>
  <c r="M18" i="20"/>
  <c r="D18" i="20"/>
  <c r="D12" i="19"/>
  <c r="K15" i="19"/>
  <c r="M15" i="19"/>
  <c r="D20" i="20"/>
  <c r="D14" i="19"/>
  <c r="F14" i="19" s="1"/>
  <c r="H14" i="19" s="1"/>
  <c r="K14" i="19"/>
  <c r="M20" i="20"/>
  <c r="N20" i="20"/>
  <c r="Q44" i="12"/>
  <c r="W44" i="12" s="1"/>
  <c r="M19" i="20"/>
  <c r="D13" i="19"/>
  <c r="F13" i="19" s="1"/>
  <c r="H13" i="19" s="1"/>
  <c r="D19" i="20"/>
  <c r="K13" i="19"/>
  <c r="Q42" i="12"/>
  <c r="W42" i="12" s="1"/>
  <c r="Q45" i="12"/>
  <c r="W45" i="12" s="1"/>
  <c r="P23" i="20"/>
  <c r="R33" i="20"/>
  <c r="Q28" i="20"/>
  <c r="N17" i="19"/>
  <c r="P17" i="19"/>
  <c r="P24" i="20"/>
  <c r="U19" i="20"/>
  <c r="T19" i="20"/>
  <c r="S19" i="20"/>
  <c r="T24" i="20"/>
  <c r="S20" i="20"/>
  <c r="W39" i="12"/>
  <c r="P16" i="20" s="1"/>
  <c r="M48" i="11"/>
  <c r="M49" i="11"/>
  <c r="R47" i="13"/>
  <c r="X48" i="13" s="1"/>
  <c r="K49" i="11" s="1"/>
  <c r="V47" i="13"/>
  <c r="G48" i="11" s="1"/>
  <c r="H48" i="11" s="1"/>
  <c r="Q49" i="16"/>
  <c r="W49" i="16" s="1"/>
  <c r="H49" i="11"/>
  <c r="Q43" i="12"/>
  <c r="W43" i="12" s="1"/>
  <c r="R15" i="12"/>
  <c r="X15" i="12" s="1"/>
  <c r="R43" i="12"/>
  <c r="X43" i="12" s="1"/>
  <c r="Q49" i="14"/>
  <c r="P49" i="14"/>
  <c r="T47" i="10"/>
  <c r="S47" i="10"/>
  <c r="U47" i="10"/>
  <c r="S48" i="13"/>
  <c r="S49" i="11"/>
  <c r="R49" i="11"/>
  <c r="P19" i="20" l="1"/>
  <c r="N13" i="19"/>
  <c r="P13" i="19"/>
  <c r="P21" i="20"/>
  <c r="Q21" i="20"/>
  <c r="N15" i="19"/>
  <c r="P15" i="19"/>
  <c r="P18" i="20"/>
  <c r="N12" i="19"/>
  <c r="P12" i="19"/>
  <c r="Q20" i="20"/>
  <c r="P20" i="20"/>
  <c r="P14" i="19"/>
  <c r="N14" i="19"/>
  <c r="S47" i="13"/>
  <c r="R48" i="11"/>
  <c r="S48" i="11"/>
  <c r="X47" i="13"/>
  <c r="K48" i="11" s="1"/>
  <c r="L49" i="11" l="1"/>
  <c r="L4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DeSonier</author>
  </authors>
  <commentList>
    <comment ref="O1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DeSonier:</t>
        </r>
        <r>
          <rPr>
            <sz val="8"/>
            <color indexed="81"/>
            <rFont val="Tahoma"/>
            <family val="2"/>
          </rPr>
          <t xml:space="preserve">
per Duane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lpudmd1</author>
  </authors>
  <commentList>
    <comment ref="E4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lpudmd1:</t>
        </r>
        <r>
          <rPr>
            <sz val="8"/>
            <color indexed="81"/>
            <rFont val="Tahoma"/>
            <family val="2"/>
          </rPr>
          <t xml:space="preserve">
includes steel inflation</t>
        </r>
      </text>
    </comment>
    <comment ref="F47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lpudmd1:</t>
        </r>
        <r>
          <rPr>
            <sz val="8"/>
            <color indexed="81"/>
            <rFont val="Tahoma"/>
            <family val="2"/>
          </rPr>
          <t xml:space="preserve">
includes offset of about 2% for divestitures</t>
        </r>
      </text>
    </comment>
  </commentList>
</comments>
</file>

<file path=xl/sharedStrings.xml><?xml version="1.0" encoding="utf-8"?>
<sst xmlns="http://schemas.openxmlformats.org/spreadsheetml/2006/main" count="815" uniqueCount="377">
  <si>
    <t>Other</t>
  </si>
  <si>
    <t xml:space="preserve">     Total</t>
  </si>
  <si>
    <t>Year ended Dec. 31</t>
  </si>
  <si>
    <t>External Sales</t>
  </si>
  <si>
    <t>Assets</t>
  </si>
  <si>
    <t>Dollars in millions</t>
  </si>
  <si>
    <t xml:space="preserve">     United States</t>
  </si>
  <si>
    <t xml:space="preserve">     Foreign</t>
  </si>
  <si>
    <t>Long-Lived Assets</t>
  </si>
  <si>
    <t xml:space="preserve">For the Fiscal Year </t>
  </si>
  <si>
    <t>Liabilities</t>
  </si>
  <si>
    <t>Current Assets</t>
  </si>
  <si>
    <t>Total Assets</t>
  </si>
  <si>
    <t>Long Term Debt</t>
  </si>
  <si>
    <t>(In Millions)</t>
  </si>
  <si>
    <t>Income Statement</t>
  </si>
  <si>
    <t>Net Sales</t>
  </si>
  <si>
    <t xml:space="preserve">Other Expense (Income) </t>
  </si>
  <si>
    <t>(In Millions, except per share data)</t>
  </si>
  <si>
    <t xml:space="preserve">   1996 amounts exclude non-recurring merger related costs of $26.6 million ($16.4 million after tax) and an extraordinary item of $12.5 million after tax</t>
  </si>
  <si>
    <t>Measures of Return on Investment</t>
  </si>
  <si>
    <t>Measures of Solvency</t>
  </si>
  <si>
    <t>Current Ratio</t>
  </si>
  <si>
    <t>Inventory Turnover</t>
  </si>
  <si>
    <t>Du Pont Formula</t>
  </si>
  <si>
    <t>Times Interest Earned</t>
  </si>
  <si>
    <t>Asset</t>
  </si>
  <si>
    <t>Leverage</t>
  </si>
  <si>
    <t>Turnover</t>
  </si>
  <si>
    <t>(Dec. 31)</t>
  </si>
  <si>
    <t>Margins (%)</t>
  </si>
  <si>
    <t xml:space="preserve">Net Earnings </t>
  </si>
  <si>
    <t xml:space="preserve">EBIT </t>
  </si>
  <si>
    <t>Net Income</t>
  </si>
  <si>
    <t xml:space="preserve">EPS </t>
  </si>
  <si>
    <t xml:space="preserve">Dividends </t>
  </si>
  <si>
    <t>1 Year</t>
  </si>
  <si>
    <t>Equity</t>
  </si>
  <si>
    <t>Net PP&amp;E</t>
  </si>
  <si>
    <t>NOT Split Adjusted</t>
  </si>
  <si>
    <t>Shares</t>
  </si>
  <si>
    <t>Net Int. Exp.</t>
  </si>
  <si>
    <t>Share Count (fully diluted)</t>
  </si>
  <si>
    <t>Stock</t>
  </si>
  <si>
    <t>1967 - 1973 SGA &amp; other expense are summed together</t>
  </si>
  <si>
    <t>5:3</t>
  </si>
  <si>
    <t>3:2</t>
  </si>
  <si>
    <t>2:1</t>
  </si>
  <si>
    <t>Liquidity</t>
  </si>
  <si>
    <t>Return on Average Total Capital</t>
  </si>
  <si>
    <t>Trailing P/E Multiple</t>
  </si>
  <si>
    <t>Dividend Yield</t>
  </si>
  <si>
    <t>Tax Rate</t>
  </si>
  <si>
    <t>Return on Sales</t>
  </si>
  <si>
    <t>Return on Average Equity</t>
  </si>
  <si>
    <t>10 Yr</t>
  </si>
  <si>
    <t xml:space="preserve">          % Foreign</t>
  </si>
  <si>
    <t>CAGR</t>
  </si>
  <si>
    <t>After-tax Return on Avg Assets</t>
  </si>
  <si>
    <t>Cash From Operations</t>
  </si>
  <si>
    <t>Investing Activity</t>
  </si>
  <si>
    <t>Financing Activity</t>
  </si>
  <si>
    <t>Measures of Cash Flow</t>
  </si>
  <si>
    <t>Free Cash Flow</t>
  </si>
  <si>
    <t>"Excess" Cash Flow</t>
  </si>
  <si>
    <t>Net Earnings</t>
  </si>
  <si>
    <t>Depre- ciation</t>
  </si>
  <si>
    <t>Amort- ization</t>
  </si>
  <si>
    <t>Working Capital Change</t>
  </si>
  <si>
    <t>Adds to PP&amp;E</t>
  </si>
  <si>
    <t>Acquired Firms, net of cash</t>
  </si>
  <si>
    <t>Debt Added (Repaid)</t>
  </si>
  <si>
    <t>Stock Issued (Bought)</t>
  </si>
  <si>
    <t>Dividends Paid</t>
  </si>
  <si>
    <t>Increase in Cash &amp; Equiv.</t>
  </si>
  <si>
    <t>Cash from Ops</t>
  </si>
  <si>
    <t>NOTE:  For years prior to 1988 the format of cash flow reporting was substantially different.</t>
  </si>
  <si>
    <t>2-Year Average</t>
  </si>
  <si>
    <t>Total Capital</t>
  </si>
  <si>
    <t xml:space="preserve">     Canada and Mexico</t>
  </si>
  <si>
    <t xml:space="preserve">     Europe</t>
  </si>
  <si>
    <t xml:space="preserve">     Other Foreign</t>
  </si>
  <si>
    <t>New Countries Entered</t>
  </si>
  <si>
    <t>Austria</t>
  </si>
  <si>
    <t>Croatia</t>
  </si>
  <si>
    <t>Spain</t>
  </si>
  <si>
    <t>Brazil</t>
  </si>
  <si>
    <t>Australia</t>
  </si>
  <si>
    <t>China</t>
  </si>
  <si>
    <t>Denmark</t>
  </si>
  <si>
    <t>Italy</t>
  </si>
  <si>
    <t>Switzerland</t>
  </si>
  <si>
    <t>Germany</t>
  </si>
  <si>
    <t>Cash &amp; Equiv</t>
  </si>
  <si>
    <t>Accts  &amp; Notes Recvbl</t>
  </si>
  <si>
    <t>Invent.</t>
  </si>
  <si>
    <t>Other &amp; Def. Taxes</t>
  </si>
  <si>
    <t>Net Work Capital</t>
  </si>
  <si>
    <t>Internal</t>
  </si>
  <si>
    <t>Annual Growth</t>
  </si>
  <si>
    <t>Acquired</t>
  </si>
  <si>
    <t xml:space="preserve">For the Period Ending </t>
  </si>
  <si>
    <t>For the Period Ending</t>
  </si>
  <si>
    <t>Total Liab to Assets</t>
  </si>
  <si>
    <t>Per Share Amounts</t>
  </si>
  <si>
    <t>Dividends</t>
  </si>
  <si>
    <t>Market Price, Dec 31</t>
  </si>
  <si>
    <t>Split Adjusted</t>
  </si>
  <si>
    <t>Oper Cash Flow</t>
  </si>
  <si>
    <t>Gross Pr</t>
  </si>
  <si>
    <t>Original</t>
  </si>
  <si>
    <t>S&amp;H</t>
  </si>
  <si>
    <t>Adjust</t>
  </si>
  <si>
    <t>SG&amp;A</t>
  </si>
  <si>
    <t>Accts Payable</t>
  </si>
  <si>
    <t>Curr. Debt</t>
  </si>
  <si>
    <t>Total Curr. Liab.</t>
  </si>
  <si>
    <t>Debt to Total Capital</t>
  </si>
  <si>
    <t xml:space="preserve">         Subtotal - Foreign</t>
  </si>
  <si>
    <t>1 Yr</t>
  </si>
  <si>
    <t>5 Yr</t>
  </si>
  <si>
    <t>Sales Growth</t>
  </si>
  <si>
    <t>20 Yr</t>
  </si>
  <si>
    <t xml:space="preserve">We have attempted to restate prior year cash flows to be somewhat comparable </t>
  </si>
  <si>
    <t>with the current format by adding depreciation and amortization to reported net earnings.</t>
  </si>
  <si>
    <t>Korea</t>
  </si>
  <si>
    <t>Mexico</t>
  </si>
  <si>
    <t>Return on Average Net Assets</t>
  </si>
  <si>
    <r>
      <t xml:space="preserve">Net Assets </t>
    </r>
    <r>
      <rPr>
        <b/>
        <vertAlign val="superscript"/>
        <sz val="10"/>
        <rFont val="Arial Narrow"/>
        <family val="2"/>
      </rPr>
      <t>4</t>
    </r>
  </si>
  <si>
    <t>Russia</t>
  </si>
  <si>
    <t>Hungary</t>
  </si>
  <si>
    <t>Interest</t>
  </si>
  <si>
    <t>Income</t>
  </si>
  <si>
    <t>South Africa</t>
  </si>
  <si>
    <t>Net Debt to Net Capital</t>
  </si>
  <si>
    <t>1996-2006</t>
  </si>
  <si>
    <t>Continuing Operations</t>
  </si>
  <si>
    <t>United States</t>
  </si>
  <si>
    <t>Canada and Mexico</t>
  </si>
  <si>
    <t>Europe</t>
  </si>
  <si>
    <t>Other Foreign</t>
  </si>
  <si>
    <t>Subtotal - Foreign</t>
  </si>
  <si>
    <t>% Foreign</t>
  </si>
  <si>
    <t>Total</t>
  </si>
  <si>
    <t>India</t>
  </si>
  <si>
    <t>U.K.</t>
  </si>
  <si>
    <t>n/a</t>
  </si>
  <si>
    <r>
      <t>Return on sales</t>
    </r>
    <r>
      <rPr>
        <sz val="10"/>
        <rFont val="Arial"/>
        <family val="2"/>
      </rPr>
      <t xml:space="preserve"> = net earnings / net sales</t>
    </r>
  </si>
  <si>
    <r>
      <t>Asset turnover</t>
    </r>
    <r>
      <rPr>
        <sz val="10"/>
        <rFont val="Arial"/>
        <family val="2"/>
      </rPr>
      <t xml:space="preserve"> = net sales / average total assets</t>
    </r>
  </si>
  <si>
    <r>
      <t>Return on assets</t>
    </r>
    <r>
      <rPr>
        <sz val="10"/>
        <rFont val="Arial"/>
        <family val="2"/>
      </rPr>
      <t xml:space="preserve"> = return on sales x asset turnover</t>
    </r>
  </si>
  <si>
    <r>
      <t>Leverage</t>
    </r>
    <r>
      <rPr>
        <sz val="10"/>
        <rFont val="Arial"/>
        <family val="2"/>
      </rPr>
      <t xml:space="preserve"> = average total assets / average shareholders equity</t>
    </r>
  </si>
  <si>
    <r>
      <t>Return on equity</t>
    </r>
    <r>
      <rPr>
        <sz val="10"/>
        <rFont val="Arial"/>
        <family val="2"/>
      </rPr>
      <t xml:space="preserve"> = return on assets x leverage</t>
    </r>
  </si>
  <si>
    <r>
      <t>Current ratio</t>
    </r>
    <r>
      <rPr>
        <sz val="10"/>
        <color indexed="17"/>
        <rFont val="Arial"/>
        <family val="2"/>
      </rPr>
      <t xml:space="preserve"> </t>
    </r>
    <r>
      <rPr>
        <sz val="10"/>
        <rFont val="Arial"/>
        <family val="2"/>
      </rPr>
      <t>= current assets / current liabilities</t>
    </r>
  </si>
  <si>
    <r>
      <t>Inventory turnover</t>
    </r>
    <r>
      <rPr>
        <sz val="10"/>
        <color indexed="17"/>
        <rFont val="Arial"/>
        <family val="2"/>
      </rPr>
      <t xml:space="preserve"> </t>
    </r>
    <r>
      <rPr>
        <sz val="10"/>
        <rFont val="Arial"/>
        <family val="2"/>
      </rPr>
      <t>= cost of goods sold (net sales - gross profit) / average inventory</t>
    </r>
  </si>
  <si>
    <r>
      <t>P/E multiple</t>
    </r>
    <r>
      <rPr>
        <sz val="10"/>
        <rFont val="Arial"/>
        <family val="2"/>
      </rPr>
      <t xml:space="preserve"> = market price per share on Dec. 31 / trailing 12 month earnings per share</t>
    </r>
  </si>
  <si>
    <r>
      <t>Dividend yield</t>
    </r>
    <r>
      <rPr>
        <sz val="10"/>
        <rFont val="Arial"/>
        <family val="2"/>
      </rPr>
      <t xml:space="preserve"> = dividend per share / market price per share on Dec. 31</t>
    </r>
  </si>
  <si>
    <r>
      <t>Payout ratio to common</t>
    </r>
    <r>
      <rPr>
        <sz val="10"/>
        <rFont val="Arial"/>
        <family val="2"/>
      </rPr>
      <t xml:space="preserve"> = dividend per share / average earnings per share</t>
    </r>
  </si>
  <si>
    <r>
      <t>Net Debt to Net Capital</t>
    </r>
    <r>
      <rPr>
        <sz val="10"/>
        <rFont val="Arial"/>
        <family val="2"/>
      </rPr>
      <t xml:space="preserve"> = (total debt - cash) / (total capital - cash)</t>
    </r>
  </si>
  <si>
    <r>
      <t>Times interest earned</t>
    </r>
    <r>
      <rPr>
        <sz val="10"/>
        <rFont val="Arial"/>
        <family val="2"/>
      </rPr>
      <t xml:space="preserve"> = income before interest expense &amp; taxes / </t>
    </r>
    <r>
      <rPr>
        <sz val="10"/>
        <color indexed="10"/>
        <rFont val="Arial"/>
        <family val="2"/>
      </rPr>
      <t>net</t>
    </r>
    <r>
      <rPr>
        <sz val="10"/>
        <rFont val="Arial"/>
        <family val="2"/>
      </rPr>
      <t xml:space="preserve"> interest expense</t>
    </r>
  </si>
  <si>
    <t>Gross Profit</t>
  </si>
  <si>
    <t>Splits</t>
  </si>
  <si>
    <t>EBIT</t>
  </si>
  <si>
    <t>Inc. Tax</t>
  </si>
  <si>
    <t>EPS from Cont. Ops.</t>
  </si>
  <si>
    <t>After-tax Earnings from 
Disc. Ops.</t>
  </si>
  <si>
    <t>Earnings from Continuing Ops.</t>
  </si>
  <si>
    <t>Africa</t>
  </si>
  <si>
    <t>South</t>
  </si>
  <si>
    <t>Foreign Sales Data</t>
  </si>
  <si>
    <t>Total Shareholder Return (TSR)</t>
  </si>
  <si>
    <r>
      <t>Total shareholder return</t>
    </r>
    <r>
      <rPr>
        <sz val="10"/>
        <rFont val="Arial"/>
        <family val="2"/>
      </rPr>
      <t xml:space="preserve"> = (dividends + change in stock price) / beginning stock price</t>
    </r>
  </si>
  <si>
    <t>3 Year CAGR</t>
  </si>
  <si>
    <t>% U.S.</t>
  </si>
  <si>
    <t>The sales information below is compiled based on the areas we have operations, primarily manufacturing locations.</t>
  </si>
  <si>
    <t xml:space="preserve">Oth. Curr.   </t>
  </si>
  <si>
    <r>
      <t>2005</t>
    </r>
    <r>
      <rPr>
        <vertAlign val="superscript"/>
        <sz val="10"/>
        <rFont val="Arial"/>
        <family val="2"/>
      </rPr>
      <t xml:space="preserve"> 6 7</t>
    </r>
  </si>
  <si>
    <r>
      <t>2006</t>
    </r>
    <r>
      <rPr>
        <vertAlign val="superscript"/>
        <sz val="10"/>
        <rFont val="Arial"/>
        <family val="2"/>
      </rPr>
      <t xml:space="preserve"> 8</t>
    </r>
  </si>
  <si>
    <r>
      <t>2007</t>
    </r>
    <r>
      <rPr>
        <vertAlign val="superscript"/>
        <sz val="10"/>
        <rFont val="Arial"/>
        <family val="2"/>
      </rPr>
      <t xml:space="preserve"> 9</t>
    </r>
  </si>
  <si>
    <r>
      <t xml:space="preserve">7  </t>
    </r>
    <r>
      <rPr>
        <sz val="10"/>
        <rFont val="Arial"/>
        <family val="2"/>
      </rPr>
      <t>2005 has been restated to reflect the reclassification of certain deferred tax assets and liabilities</t>
    </r>
  </si>
  <si>
    <t>Payout Ratio to Common 1 Yr.</t>
  </si>
  <si>
    <t>Historical Data, As Originally Reported</t>
  </si>
  <si>
    <r>
      <t xml:space="preserve"> </t>
    </r>
    <r>
      <rPr>
        <b/>
        <sz val="10"/>
        <rFont val="Arial"/>
        <family val="2"/>
      </rPr>
      <t>Free Cash Flow</t>
    </r>
    <r>
      <rPr>
        <sz val="10"/>
        <rFont val="Arial"/>
        <family val="2"/>
      </rPr>
      <t xml:space="preserve"> = Cash From Operations - Adds to PP&amp;E</t>
    </r>
  </si>
  <si>
    <r>
      <t>"Excess" Cash Flow</t>
    </r>
    <r>
      <rPr>
        <sz val="10"/>
        <rFont val="Arial"/>
        <family val="2"/>
      </rPr>
      <t xml:space="preserve"> = Cash From Operations - Adds to PP&amp;E - Cash Spent on Acquisitions - Dividends</t>
    </r>
  </si>
  <si>
    <r>
      <t xml:space="preserve">6  </t>
    </r>
    <r>
      <rPr>
        <sz val="10"/>
        <rFont val="Arial"/>
        <family val="2"/>
      </rPr>
      <t>2005 excludes "held for sale" amounts as follows: current assets = $333.1, total assets = $733.4, current liabilities = $73.9, non-current liabilities = $1.3, equity = $658.2</t>
    </r>
  </si>
  <si>
    <r>
      <t xml:space="preserve">8  </t>
    </r>
    <r>
      <rPr>
        <sz val="10"/>
        <rFont val="Arial"/>
        <family val="2"/>
      </rPr>
      <t>2006 excludes "held for sale" amounts as follows: current assets = $339.2, total assets = $765.5, current liabilities = $73.4, non-current liabilities = $1.0, equity = $691.1</t>
    </r>
  </si>
  <si>
    <r>
      <t xml:space="preserve">9  </t>
    </r>
    <r>
      <rPr>
        <sz val="10"/>
        <rFont val="Arial"/>
        <family val="2"/>
      </rPr>
      <t>2007 excludes "held for sale" amounts as follows: current assets = $303.1, total assets = $576.7, current liabilities = $77.5, non-current liabilities = $1.0, equity = $498.2</t>
    </r>
  </si>
  <si>
    <r>
      <t xml:space="preserve">1, 5, and 10 Year Growth - CAGR (%) </t>
    </r>
    <r>
      <rPr>
        <b/>
        <vertAlign val="superscript"/>
        <sz val="12"/>
        <rFont val="Arial"/>
        <family val="2"/>
      </rPr>
      <t>1</t>
    </r>
  </si>
  <si>
    <t>Dep. &amp; Amort.</t>
  </si>
  <si>
    <t>EBITDA</t>
  </si>
  <si>
    <r>
      <t xml:space="preserve">10  </t>
    </r>
    <r>
      <rPr>
        <sz val="10"/>
        <rFont val="Arial"/>
        <family val="2"/>
      </rPr>
      <t>2008 excludes "held for sale" amounts as follows: current assets = $31.0, total assets = $61.2, current liabilities = $7.4, equity = $53.8</t>
    </r>
  </si>
  <si>
    <r>
      <t>2008</t>
    </r>
    <r>
      <rPr>
        <vertAlign val="superscript"/>
        <sz val="10"/>
        <rFont val="Arial"/>
        <family val="2"/>
      </rPr>
      <t xml:space="preserve"> 10</t>
    </r>
  </si>
  <si>
    <t>Less: Non-Controlling Interests</t>
  </si>
  <si>
    <t>Net Earnings Attributable to Leggett</t>
  </si>
  <si>
    <r>
      <t xml:space="preserve">11  </t>
    </r>
    <r>
      <rPr>
        <sz val="10"/>
        <rFont val="Arial"/>
        <family val="2"/>
      </rPr>
      <t>2009 excludes "held for sale" amounts as follows: current assets = $16.4, total assets = $43.6, current liabilities = $3.2, equity = $40.4</t>
    </r>
  </si>
  <si>
    <r>
      <t>2009</t>
    </r>
    <r>
      <rPr>
        <vertAlign val="superscript"/>
        <sz val="10"/>
        <rFont val="Arial"/>
        <family val="2"/>
      </rPr>
      <t xml:space="preserve"> 11</t>
    </r>
  </si>
  <si>
    <t>France</t>
  </si>
  <si>
    <t>nm</t>
  </si>
  <si>
    <t>Continuing Operations (see explanation below)</t>
  </si>
  <si>
    <t>Adjusted Continuing Operations (see explanation below)</t>
  </si>
  <si>
    <t>In late 2007, we announced the decision to divest seven businesses. Income statements for 2002 through 2008 reflect those businesses as discontinued operations.</t>
  </si>
  <si>
    <r>
      <t xml:space="preserve">1  </t>
    </r>
    <r>
      <rPr>
        <b/>
        <sz val="12"/>
        <rFont val="Arial"/>
        <family val="2"/>
      </rPr>
      <t>Amounts as originally reported (unless stated otherwise)</t>
    </r>
  </si>
  <si>
    <r>
      <t>1</t>
    </r>
    <r>
      <rPr>
        <b/>
        <sz val="12"/>
        <rFont val="Arial"/>
        <family val="2"/>
      </rPr>
      <t xml:space="preserve">  As originally reported (unless stated otherwise)</t>
    </r>
  </si>
  <si>
    <t>Because of the lack of historically comparable data, 5 yr and 10 yr earnings CAGRs are limited in recent years (as indicated by the 'nm' references in the table above).</t>
  </si>
  <si>
    <t>In late 2007, we announced the decision to divest seven businesses. Income statements and balance sheets for 2005 through 2008 reflect those businesses as discontinued</t>
  </si>
  <si>
    <t>The Company's operations outside of the United States are principally in Europe, China, Canada, and Mexico.</t>
  </si>
  <si>
    <t>but balance sheets have not been adjusted for this change. Therefore, turnover and returns for 2009-2014 are slightly understated.</t>
  </si>
  <si>
    <t>Stock Price</t>
  </si>
  <si>
    <t>In 2014, we divested the majority of the Store Fixtures business. Income statements for 2009 through 2014 reflect that business as discontinued operations.</t>
  </si>
  <si>
    <t xml:space="preserve">operations. In 2014, we divested the majority of the Store Fixtures business. Income statements for 2009 through 2014 reflect that business as discontinued operations, </t>
  </si>
  <si>
    <t>Poland</t>
  </si>
  <si>
    <t>"Adjusted Continuing Operations" also exclude unusual items from earnings to better reflect operating performance in each year. See Appendix - Non-GAAP Adjustments.</t>
  </si>
  <si>
    <t>"Adjusted Continuing Operations" also exclude unusual items to better reflect operating performance in each year.  See Appendix - Non-GAAP Adjustments.</t>
  </si>
  <si>
    <r>
      <t>Adjusted Continuing Operations</t>
    </r>
    <r>
      <rPr>
        <b/>
        <sz val="14"/>
        <color indexed="9"/>
        <rFont val="Times New Roman"/>
        <family val="1"/>
      </rPr>
      <t xml:space="preserve"> (see explanation below)</t>
    </r>
  </si>
  <si>
    <t>50 Yr</t>
  </si>
  <si>
    <t>Debt</t>
  </si>
  <si>
    <t>to</t>
  </si>
  <si>
    <t>Debt to EBITDA</t>
  </si>
  <si>
    <r>
      <t>Debt to EBITDA</t>
    </r>
    <r>
      <rPr>
        <sz val="10"/>
        <rFont val="Arial"/>
        <family val="2"/>
      </rPr>
      <t xml:space="preserve"> = total debt / EBITDA</t>
    </r>
  </si>
  <si>
    <t>Int. Exp.</t>
  </si>
  <si>
    <t xml:space="preserve">Return on </t>
  </si>
  <si>
    <t>Invested</t>
  </si>
  <si>
    <t>Capital</t>
  </si>
  <si>
    <t>Curr. Op. Lease Liab.</t>
  </si>
  <si>
    <t>Oper. Lease Liab.</t>
  </si>
  <si>
    <r>
      <t xml:space="preserve">4  </t>
    </r>
    <r>
      <rPr>
        <sz val="10"/>
        <rFont val="Arial"/>
        <family val="2"/>
      </rPr>
      <t>Net assets = total capitalization - cash &amp; equivalents + current debt maturities + current operating lease liabilities</t>
    </r>
  </si>
  <si>
    <r>
      <t>Return on invested capital</t>
    </r>
    <r>
      <rPr>
        <sz val="10"/>
        <rFont val="Arial"/>
        <family val="2"/>
      </rPr>
      <t xml:space="preserve"> = EBIT - (1 * tax  rate) / average (long-term debt + current debt + operating lease liabilities + current operating lease liabilities + shareholders equity - cash)</t>
    </r>
  </si>
  <si>
    <r>
      <t>Debt to total capital</t>
    </r>
    <r>
      <rPr>
        <sz val="10"/>
        <rFont val="Arial"/>
        <family val="2"/>
      </rPr>
      <t xml:space="preserve"> = total debt (long-term debt + current debt) / total capital (long-term debt + current debt + operating lease liabilities + current operating lease liabilities + other liabilities &amp; deferred taxes + shareholders equity)</t>
    </r>
  </si>
  <si>
    <r>
      <t>Total liab to assets</t>
    </r>
    <r>
      <rPr>
        <sz val="10"/>
        <rFont val="Arial"/>
        <family val="2"/>
      </rPr>
      <t xml:space="preserve"> = total liab / total assets; liab = CL + LT Debt + Op Lease Liab + Other Liab + Def Tax</t>
    </r>
  </si>
  <si>
    <t>Net Trade Sales</t>
  </si>
  <si>
    <t>Net Debt to EBITDA</t>
  </si>
  <si>
    <r>
      <t>Net Debt to EBITDA</t>
    </r>
    <r>
      <rPr>
        <sz val="10"/>
        <rFont val="Arial"/>
        <family val="2"/>
      </rPr>
      <t xml:space="preserve"> = (total debt - cash) / EBITDA</t>
    </r>
  </si>
  <si>
    <r>
      <t xml:space="preserve">2018 </t>
    </r>
    <r>
      <rPr>
        <vertAlign val="superscript"/>
        <sz val="10"/>
        <rFont val="Arial"/>
        <family val="2"/>
      </rPr>
      <t>2</t>
    </r>
  </si>
  <si>
    <r>
      <t xml:space="preserve">2019 </t>
    </r>
    <r>
      <rPr>
        <vertAlign val="superscript"/>
        <sz val="10"/>
        <rFont val="Arial"/>
        <family val="2"/>
      </rPr>
      <t>2</t>
    </r>
  </si>
  <si>
    <r>
      <t xml:space="preserve">2020 </t>
    </r>
    <r>
      <rPr>
        <vertAlign val="superscript"/>
        <sz val="10"/>
        <rFont val="Arial"/>
        <family val="2"/>
      </rPr>
      <t>2</t>
    </r>
  </si>
  <si>
    <r>
      <t xml:space="preserve">2016 </t>
    </r>
    <r>
      <rPr>
        <vertAlign val="superscript"/>
        <sz val="10"/>
        <rFont val="Arial"/>
        <family val="2"/>
      </rPr>
      <t>1</t>
    </r>
  </si>
  <si>
    <r>
      <t xml:space="preserve">2017 </t>
    </r>
    <r>
      <rPr>
        <vertAlign val="superscript"/>
        <sz val="10"/>
        <rFont val="Arial"/>
        <family val="2"/>
      </rPr>
      <t>1</t>
    </r>
  </si>
  <si>
    <r>
      <t xml:space="preserve">2018 </t>
    </r>
    <r>
      <rPr>
        <vertAlign val="superscript"/>
        <sz val="10"/>
        <rFont val="Arial"/>
        <family val="2"/>
      </rPr>
      <t>1</t>
    </r>
  </si>
  <si>
    <r>
      <t xml:space="preserve">2019 </t>
    </r>
    <r>
      <rPr>
        <vertAlign val="superscript"/>
        <sz val="10"/>
        <rFont val="Arial"/>
        <family val="2"/>
      </rPr>
      <t>1</t>
    </r>
  </si>
  <si>
    <r>
      <t xml:space="preserve">2020 </t>
    </r>
    <r>
      <rPr>
        <vertAlign val="superscript"/>
        <sz val="10"/>
        <rFont val="Arial"/>
        <family val="2"/>
      </rPr>
      <t>1</t>
    </r>
  </si>
  <si>
    <r>
      <t xml:space="preserve">2015 </t>
    </r>
    <r>
      <rPr>
        <vertAlign val="superscript"/>
        <sz val="10"/>
        <rFont val="Arial"/>
        <family val="2"/>
      </rPr>
      <t>1</t>
    </r>
  </si>
  <si>
    <r>
      <t xml:space="preserve">2015 </t>
    </r>
    <r>
      <rPr>
        <vertAlign val="superscript"/>
        <sz val="10"/>
        <rFont val="Arial"/>
        <family val="2"/>
      </rPr>
      <t>12</t>
    </r>
  </si>
  <si>
    <r>
      <t xml:space="preserve">2016 </t>
    </r>
    <r>
      <rPr>
        <vertAlign val="superscript"/>
        <sz val="10"/>
        <rFont val="Arial"/>
        <family val="2"/>
      </rPr>
      <t>12</t>
    </r>
  </si>
  <si>
    <r>
      <t xml:space="preserve">2017 </t>
    </r>
    <r>
      <rPr>
        <vertAlign val="superscript"/>
        <sz val="10"/>
        <rFont val="Arial"/>
        <family val="2"/>
      </rPr>
      <t>12</t>
    </r>
  </si>
  <si>
    <r>
      <t xml:space="preserve">2018 </t>
    </r>
    <r>
      <rPr>
        <vertAlign val="superscript"/>
        <sz val="10"/>
        <rFont val="Arial"/>
        <family val="2"/>
      </rPr>
      <t>12</t>
    </r>
  </si>
  <si>
    <r>
      <t xml:space="preserve">2019 </t>
    </r>
    <r>
      <rPr>
        <vertAlign val="superscript"/>
        <sz val="10"/>
        <rFont val="Arial"/>
        <family val="2"/>
      </rPr>
      <t>12</t>
    </r>
  </si>
  <si>
    <r>
      <t xml:space="preserve">2020 </t>
    </r>
    <r>
      <rPr>
        <vertAlign val="superscript"/>
        <sz val="10"/>
        <rFont val="Arial"/>
        <family val="2"/>
      </rPr>
      <t>12</t>
    </r>
  </si>
  <si>
    <r>
      <t xml:space="preserve">1  </t>
    </r>
    <r>
      <rPr>
        <b/>
        <sz val="11"/>
        <rFont val="Arial"/>
        <family val="2"/>
      </rPr>
      <t>Effective 1Q21, the accounting methodology for valuing domestic steel-related inventory changed from LIFO to FIFO. 2015 - 2020 financial data has been adjusted to apply the effects of the change.</t>
    </r>
  </si>
  <si>
    <r>
      <t>1</t>
    </r>
    <r>
      <rPr>
        <b/>
        <sz val="10"/>
        <rFont val="Arial"/>
        <family val="2"/>
      </rPr>
      <t xml:space="preserve">  As originally reported (unless stated otherwise)</t>
    </r>
  </si>
  <si>
    <r>
      <t xml:space="preserve">2015 </t>
    </r>
    <r>
      <rPr>
        <vertAlign val="superscript"/>
        <sz val="10"/>
        <rFont val="Arial"/>
        <family val="2"/>
      </rPr>
      <t>2</t>
    </r>
  </si>
  <si>
    <r>
      <t xml:space="preserve">2016 </t>
    </r>
    <r>
      <rPr>
        <vertAlign val="superscript"/>
        <sz val="10"/>
        <rFont val="Arial"/>
        <family val="2"/>
      </rPr>
      <t>2</t>
    </r>
  </si>
  <si>
    <r>
      <t xml:space="preserve">2017 </t>
    </r>
    <r>
      <rPr>
        <vertAlign val="superscript"/>
        <sz val="10"/>
        <rFont val="Arial"/>
        <family val="2"/>
      </rPr>
      <t>2</t>
    </r>
  </si>
  <si>
    <r>
      <t>1</t>
    </r>
    <r>
      <rPr>
        <b/>
        <sz val="10"/>
        <rFont val="Arial"/>
        <family val="2"/>
      </rPr>
      <t xml:space="preserve">  CAGR - compound annual growth rate</t>
    </r>
  </si>
  <si>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Effective 1Q21, the accounting methodology for valuing domestic steel-related inventory changed from LIFO to FIFO. 2015-2020 data has been adjusted to apply the effects of the change.</t>
    </r>
  </si>
  <si>
    <r>
      <t xml:space="preserve">12  </t>
    </r>
    <r>
      <rPr>
        <sz val="10"/>
        <rFont val="Arial"/>
        <family val="2"/>
      </rPr>
      <t>Effective 1Q21, the accounting methodology for valuing domestic steel-related inventory changed from LIFO to FIFO. 2015-2020 financial data has been adjusted to apply the effects of the change.</t>
    </r>
  </si>
  <si>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Effective 1Q21, the accounting methodology for valuing domestic steel-related inventory changed from LIFO to FIFO. 2015-2020 financial data has been adjusted to apply the effects of the change.</t>
    </r>
  </si>
  <si>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 Effective 1Q21, the accounting methodology for valuing domestic steel-related inventory changed from LIFO to FIFO. 2015 - 2020 financial data has been adjusted to apply the effects of the change.</t>
    </r>
  </si>
  <si>
    <t>Ireland</t>
  </si>
  <si>
    <r>
      <t xml:space="preserve">       </t>
    </r>
    <r>
      <rPr>
        <b/>
        <sz val="20"/>
        <color indexed="9"/>
        <rFont val="Arial"/>
        <family val="2"/>
      </rPr>
      <t>Income Statement</t>
    </r>
    <r>
      <rPr>
        <b/>
        <vertAlign val="superscript"/>
        <sz val="20"/>
        <color rgb="FFFFFFFF"/>
        <rFont val="Arial"/>
        <family val="2"/>
      </rPr>
      <t>1</t>
    </r>
    <r>
      <rPr>
        <b/>
        <sz val="20"/>
        <color indexed="9"/>
        <rFont val="Arial"/>
        <family val="2"/>
      </rPr>
      <t xml:space="preserve">  --  Page 1</t>
    </r>
  </si>
  <si>
    <r>
      <t xml:space="preserve">       </t>
    </r>
    <r>
      <rPr>
        <b/>
        <sz val="20"/>
        <color indexed="9"/>
        <rFont val="Arial"/>
        <family val="2"/>
      </rPr>
      <t>Income Statement</t>
    </r>
    <r>
      <rPr>
        <b/>
        <vertAlign val="superscript"/>
        <sz val="20"/>
        <color rgb="FFFFFFFF"/>
        <rFont val="Arial"/>
        <family val="2"/>
      </rPr>
      <t>1</t>
    </r>
    <r>
      <rPr>
        <b/>
        <sz val="20"/>
        <color indexed="9"/>
        <rFont val="Arial"/>
        <family val="2"/>
      </rPr>
      <t xml:space="preserve">  --  Page 2</t>
    </r>
  </si>
  <si>
    <r>
      <t xml:space="preserve">2  </t>
    </r>
    <r>
      <rPr>
        <sz val="10"/>
        <rFont val="Arial"/>
        <family val="2"/>
      </rPr>
      <t>Beginning in 2002, shipping &amp; handling expense is included in COGS. In prior years, this expense was included in SG&amp;A.  Amounts on this schedule have been restated back to 1979 to reflect the reclass.</t>
    </r>
  </si>
  <si>
    <r>
      <t xml:space="preserve">Gross Profit </t>
    </r>
    <r>
      <rPr>
        <b/>
        <vertAlign val="superscript"/>
        <sz val="10"/>
        <rFont val="Arial"/>
        <family val="2"/>
      </rPr>
      <t xml:space="preserve">2 </t>
    </r>
  </si>
  <si>
    <r>
      <t xml:space="preserve">SG&amp;A </t>
    </r>
    <r>
      <rPr>
        <b/>
        <vertAlign val="superscript"/>
        <sz val="10"/>
        <rFont val="Arial"/>
        <family val="2"/>
      </rPr>
      <t xml:space="preserve">2 </t>
    </r>
  </si>
  <si>
    <r>
      <t>3</t>
    </r>
    <r>
      <rPr>
        <sz val="10"/>
        <rFont val="Arial"/>
        <family val="2"/>
      </rPr>
      <t xml:space="preserve">  EBIT amounts exclude extraordinary items (net of tax)</t>
    </r>
  </si>
  <si>
    <r>
      <t xml:space="preserve">4 </t>
    </r>
    <r>
      <rPr>
        <sz val="10"/>
        <rFont val="Arial"/>
        <family val="2"/>
      </rPr>
      <t xml:space="preserve"> 1990 amounts exclude non-recurring restructuring charge of $20.3 million ($14.3 million after tax);</t>
    </r>
  </si>
  <si>
    <r>
      <t>Inc. Tax</t>
    </r>
    <r>
      <rPr>
        <b/>
        <vertAlign val="superscript"/>
        <sz val="10"/>
        <rFont val="Arial"/>
        <family val="2"/>
      </rPr>
      <t xml:space="preserve"> 3 4</t>
    </r>
  </si>
  <si>
    <r>
      <t xml:space="preserve">Net 
Earnings </t>
    </r>
    <r>
      <rPr>
        <b/>
        <vertAlign val="superscript"/>
        <sz val="10"/>
        <rFont val="Arial"/>
        <family val="2"/>
      </rPr>
      <t>3 4</t>
    </r>
  </si>
  <si>
    <r>
      <t xml:space="preserve">EPS </t>
    </r>
    <r>
      <rPr>
        <b/>
        <vertAlign val="superscript"/>
        <sz val="10"/>
        <rFont val="Arial"/>
        <family val="2"/>
      </rPr>
      <t>3 4</t>
    </r>
  </si>
  <si>
    <r>
      <t xml:space="preserve">5  </t>
    </r>
    <r>
      <rPr>
        <sz val="10"/>
        <rFont val="Arial"/>
        <family val="2"/>
      </rPr>
      <t xml:space="preserve">1978 - 1984 amounts include equity from majority-owned corporations.  </t>
    </r>
  </si>
  <si>
    <r>
      <t xml:space="preserve">EBIT </t>
    </r>
    <r>
      <rPr>
        <b/>
        <vertAlign val="superscript"/>
        <sz val="10"/>
        <rFont val="Arial"/>
        <family val="2"/>
      </rPr>
      <t xml:space="preserve">3 4 5 </t>
    </r>
  </si>
  <si>
    <r>
      <t xml:space="preserve">Share Count </t>
    </r>
    <r>
      <rPr>
        <b/>
        <vertAlign val="superscript"/>
        <sz val="10"/>
        <rFont val="Arial"/>
        <family val="2"/>
      </rPr>
      <t>6</t>
    </r>
    <r>
      <rPr>
        <b/>
        <sz val="10"/>
        <rFont val="Arial"/>
        <family val="2"/>
      </rPr>
      <t xml:space="preserve"> (fully diluted)</t>
    </r>
  </si>
  <si>
    <r>
      <t xml:space="preserve">Splits </t>
    </r>
    <r>
      <rPr>
        <b/>
        <vertAlign val="superscript"/>
        <sz val="10"/>
        <rFont val="Arial"/>
        <family val="2"/>
      </rPr>
      <t>7</t>
    </r>
  </si>
  <si>
    <r>
      <t xml:space="preserve">7  </t>
    </r>
    <r>
      <rPr>
        <sz val="10"/>
        <rFont val="Arial"/>
        <family val="2"/>
      </rPr>
      <t>Stock-splits occurred on the following dates:  May 13, 1969;  January 15, 1973;  September 29, 1978;  August 26, 1983;  March 14, 1986;  June 15, 1992;  September 15, 1995;  June 15, 1998.</t>
    </r>
  </si>
  <si>
    <r>
      <t xml:space="preserve">6  </t>
    </r>
    <r>
      <rPr>
        <sz val="10"/>
        <rFont val="Arial"/>
        <family val="2"/>
      </rPr>
      <t>Leggett &amp; Platt's IPO (as NYSE symbol: LEG) was 50,000 shares in 1967.  Leggett publicly issued additional shares as follows:  175,000 shares in 1969; 175,000 shares in 1972; and 313,500 shares in 1983.</t>
    </r>
  </si>
  <si>
    <r>
      <t xml:space="preserve">Net Debt </t>
    </r>
    <r>
      <rPr>
        <b/>
        <vertAlign val="superscript"/>
        <sz val="10"/>
        <rFont val="Arial Narrow"/>
        <family val="2"/>
      </rPr>
      <t>2</t>
    </r>
  </si>
  <si>
    <r>
      <t xml:space="preserve">2  </t>
    </r>
    <r>
      <rPr>
        <sz val="10"/>
        <rFont val="Arial"/>
        <family val="2"/>
      </rPr>
      <t>Net debt = long-term debt - cash &amp; equivalents + current debt maturities</t>
    </r>
  </si>
  <si>
    <r>
      <t xml:space="preserve">Total Capital-
ization </t>
    </r>
    <r>
      <rPr>
        <b/>
        <vertAlign val="superscript"/>
        <sz val="10"/>
        <rFont val="Arial Narrow"/>
        <family val="2"/>
      </rPr>
      <t>3</t>
    </r>
  </si>
  <si>
    <r>
      <t>3</t>
    </r>
    <r>
      <rPr>
        <sz val="10"/>
        <rFont val="Arial"/>
        <family val="2"/>
      </rPr>
      <t xml:space="preserve">  Total capitalization = long-term debt + operating lease liabilities + other liabilities &amp; deferred taxes + shareholders equity</t>
    </r>
  </si>
  <si>
    <r>
      <t xml:space="preserve">Net Working Capital </t>
    </r>
    <r>
      <rPr>
        <b/>
        <vertAlign val="superscript"/>
        <sz val="10"/>
        <rFont val="Arial Narrow"/>
        <family val="2"/>
      </rPr>
      <t>5</t>
    </r>
  </si>
  <si>
    <r>
      <t xml:space="preserve">5  </t>
    </r>
    <r>
      <rPr>
        <sz val="10"/>
        <rFont val="Arial"/>
        <family val="2"/>
      </rPr>
      <t>Net working capital = current assets - cash &amp; equivalents - current liabilities + current debt maturities + current operating lease liabilities</t>
    </r>
  </si>
  <si>
    <r>
      <t xml:space="preserve">2014 </t>
    </r>
    <r>
      <rPr>
        <vertAlign val="superscript"/>
        <sz val="10"/>
        <rFont val="Arial"/>
        <family val="2"/>
      </rPr>
      <t>1</t>
    </r>
  </si>
  <si>
    <r>
      <t xml:space="preserve">2013 </t>
    </r>
    <r>
      <rPr>
        <vertAlign val="superscript"/>
        <sz val="10"/>
        <rFont val="Arial"/>
        <family val="2"/>
      </rPr>
      <t>1</t>
    </r>
  </si>
  <si>
    <r>
      <t xml:space="preserve">20 and 50 Year Growth - CAGR (%) </t>
    </r>
    <r>
      <rPr>
        <b/>
        <vertAlign val="superscript"/>
        <sz val="12"/>
        <rFont val="Arial"/>
        <family val="2"/>
      </rPr>
      <t>1</t>
    </r>
  </si>
  <si>
    <t>(Dollar amounts in millions, except per share data)</t>
  </si>
  <si>
    <t>2006</t>
  </si>
  <si>
    <t>2010</t>
  </si>
  <si>
    <t>Non-GAAP adjustments, Continuing Operations</t>
  </si>
  <si>
    <t>Gain/loss from sale of real est and/or businesses</t>
  </si>
  <si>
    <t>Discontinued ops overhead</t>
  </si>
  <si>
    <t>Unusual bad debt expense</t>
  </si>
  <si>
    <t>Note write-off from divested business</t>
  </si>
  <si>
    <t>Benefit from litigation settlement proceeds</t>
  </si>
  <si>
    <t>Impairment charges</t>
  </si>
  <si>
    <t>Pension settlement charge</t>
  </si>
  <si>
    <t>Litigation accrual</t>
  </si>
  <si>
    <t>Acquisition-related bargain purchase gain</t>
  </si>
  <si>
    <t>Note impairment</t>
  </si>
  <si>
    <t>Acquisition-related transaction costs</t>
  </si>
  <si>
    <t>Restructuring-related charges</t>
  </si>
  <si>
    <t>Stock write-off from prior year divestiture</t>
  </si>
  <si>
    <t>Non-GAAP adjustments, pre-tax</t>
  </si>
  <si>
    <t>Income tax impact</t>
  </si>
  <si>
    <t>Special tax items</t>
  </si>
  <si>
    <t>Non-GAAP adjustments, after tax</t>
  </si>
  <si>
    <t>Diluted shares outstanding</t>
  </si>
  <si>
    <t>EPS impact of non-GAAP adjustments</t>
  </si>
  <si>
    <t xml:space="preserve">    Impairment charge was in Bedding Products - 1Q; and pension buyout was below segments - 4Q.</t>
  </si>
  <si>
    <t xml:space="preserve">    Impairment charge in Specialized Products - 2Q; and litigation settlement gain in Furniture, Flooring &amp; Textile Products - 2Q.</t>
  </si>
  <si>
    <t xml:space="preserve">   Divestiture tax benefit in Specialized Products of $6m in 3Q and $2m in 4Q;  pension settlement charge was below segments - 4Q and Tax Cuts and Jobs Act impact of $50m - 4Q.</t>
  </si>
  <si>
    <t xml:space="preserve">   Restructuring-related charges of $9m in Furniture, Flooring &amp; Textile Products and $7m in Bedding Products - 4Q; Tax Cuts and Jobs Act benefit of $2m - 3Q.</t>
  </si>
  <si>
    <t xml:space="preserve">   Restructuring-related charges in Furniture, Flooring &amp; Textile Products - $1m in 1Q, $1m in 2Q, $1m in 3Q and $3m in 4Q.</t>
  </si>
  <si>
    <t xml:space="preserve">   Restructuring-related charges in Bedding Products - $2m in 1Q, $1m in 2Q; Restructuring-related charges in Specialized Products - $4m in 3Q;</t>
  </si>
  <si>
    <t xml:space="preserve">   Restructuring-related charges in Furniture, Flooring &amp; Textile Products - $1m in 1Q and $1m in 2Q; Stock write-off from prior year divestiture below segments - $4m in 1Q.</t>
  </si>
  <si>
    <t>2015-2020 Adjusted for effects of change from LIFO to FIFO</t>
  </si>
  <si>
    <t>CEO transition compensation costs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</si>
  <si>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Sales for 2014 reflect Store Fixtures as discontinued operations.</t>
    </r>
  </si>
  <si>
    <t xml:space="preserve">    Restructuring-related charges in Bedding Products - $9m in 1Q, $10m in 2Q, $8m in 3Q and $10m in 4Q; Restructuring-related charges in Specialized Products - $1m in 2Q, $4m in 3Q and $5m in 4Q;</t>
  </si>
  <si>
    <t xml:space="preserve">    Restructuring-related charges in Furniture, Flooring &amp; Textile Products - $2m in 1Q, $1m in 3Q, and &lt;$1m in 4Q; </t>
  </si>
  <si>
    <t xml:space="preserve">    CEO transition compensation cost was below segments - $4m in 2Q;</t>
  </si>
  <si>
    <t xml:space="preserve">    Deferred tax asset valuation allowance related to a prior year acquisition in Specialized Products - $5m in 4Q.</t>
  </si>
  <si>
    <t>Reconciliation of Reported (GAAP) to Adjusted (non-GAAP) Financial Measures -- Page 1</t>
  </si>
  <si>
    <t>Reconciliation of Reported (GAAP) to Adjusted (non-GAAP) Financial Measures -- Page 2</t>
  </si>
  <si>
    <r>
      <t xml:space="preserve">2007 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</si>
  <si>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r>
      <t xml:space="preserve">2008 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</si>
  <si>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 xml:space="preserve">2009 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</si>
  <si>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r>
      <t xml:space="preserve">2011 </t>
    </r>
    <r>
      <rPr>
        <b/>
        <vertAlign val="superscript"/>
        <sz val="10"/>
        <color theme="1"/>
        <rFont val="Calibri"/>
        <family val="2"/>
        <scheme val="minor"/>
      </rPr>
      <t>4</t>
    </r>
  </si>
  <si>
    <r>
      <t xml:space="preserve">2012 </t>
    </r>
    <r>
      <rPr>
        <b/>
        <vertAlign val="superscript"/>
        <sz val="10"/>
        <color theme="1"/>
        <rFont val="Calibri"/>
        <family val="2"/>
        <scheme val="minor"/>
      </rPr>
      <t>5</t>
    </r>
  </si>
  <si>
    <r>
      <t xml:space="preserve">2013 </t>
    </r>
    <r>
      <rPr>
        <b/>
        <vertAlign val="superscript"/>
        <sz val="10"/>
        <color theme="1"/>
        <rFont val="Calibri"/>
        <family val="2"/>
        <scheme val="minor"/>
      </rPr>
      <t>6</t>
    </r>
  </si>
  <si>
    <r>
      <t xml:space="preserve">2014 </t>
    </r>
    <r>
      <rPr>
        <b/>
        <vertAlign val="superscript"/>
        <sz val="10"/>
        <color theme="1"/>
        <rFont val="Calibri"/>
        <family val="2"/>
        <scheme val="minor"/>
      </rPr>
      <t>7</t>
    </r>
  </si>
  <si>
    <r>
      <t xml:space="preserve">2015 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</si>
  <si>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 xml:space="preserve">2016 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</si>
  <si>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 xml:space="preserve">2017 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</si>
  <si>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r>
      <t xml:space="preserve">2018 </t>
    </r>
    <r>
      <rPr>
        <b/>
        <vertAlign val="superscript"/>
        <sz val="10"/>
        <color theme="1"/>
        <rFont val="Calibri"/>
        <family val="2"/>
        <scheme val="minor"/>
      </rPr>
      <t>11</t>
    </r>
  </si>
  <si>
    <r>
      <t xml:space="preserve">2019 </t>
    </r>
    <r>
      <rPr>
        <b/>
        <vertAlign val="superscript"/>
        <sz val="10"/>
        <color theme="1"/>
        <rFont val="Calibri"/>
        <family val="2"/>
        <scheme val="minor"/>
      </rPr>
      <t>12</t>
    </r>
  </si>
  <si>
    <r>
      <t xml:space="preserve">2020 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</si>
  <si>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 xml:space="preserve">1  </t>
    </r>
    <r>
      <rPr>
        <sz val="8"/>
        <rFont val="Calibri"/>
        <family val="2"/>
        <scheme val="minor"/>
      </rPr>
      <t>2007 adjustments were primarily in 4Q.</t>
    </r>
  </si>
  <si>
    <r>
      <t xml:space="preserve">2  </t>
    </r>
    <r>
      <rPr>
        <sz val="8"/>
        <rFont val="Calibri"/>
        <family val="2"/>
        <scheme val="minor"/>
      </rPr>
      <t>2008 adjustments were primarily in 4Q.</t>
    </r>
  </si>
  <si>
    <r>
      <t xml:space="preserve">3  </t>
    </r>
    <r>
      <rPr>
        <sz val="8"/>
        <rFont val="Calibri"/>
        <family val="2"/>
        <scheme val="minor"/>
      </rPr>
      <t xml:space="preserve">2009 adjustments: Bad debt expense was in 1Q, write-down of divestiture note was in 2Q, and unusual tax items were in 4Q. </t>
    </r>
  </si>
  <si>
    <r>
      <t xml:space="preserve">4  </t>
    </r>
    <r>
      <rPr>
        <sz val="8"/>
        <rFont val="Calibri"/>
        <family val="2"/>
        <scheme val="minor"/>
      </rPr>
      <t>2011 adjustments were in 4Q.</t>
    </r>
  </si>
  <si>
    <r>
      <t xml:space="preserve">5  </t>
    </r>
    <r>
      <rPr>
        <sz val="8"/>
        <rFont val="Calibri"/>
        <family val="2"/>
        <scheme val="minor"/>
      </rPr>
      <t>2012 adjustments were in 4Q.</t>
    </r>
  </si>
  <si>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2013 adjustments: Impairment charge was in Specialized Products - 4Q; acq-related purch gain was below segments - 3Q.</t>
    </r>
  </si>
  <si>
    <r>
      <rPr>
        <vertAlign val="superscript"/>
        <sz val="8"/>
        <color theme="1"/>
        <rFont val="Calibri"/>
        <family val="2"/>
        <scheme val="minor"/>
      </rPr>
      <t>7</t>
    </r>
    <r>
      <rPr>
        <sz val="8"/>
        <color theme="1"/>
        <rFont val="Calibri"/>
        <family val="2"/>
        <scheme val="minor"/>
      </rPr>
      <t xml:space="preserve"> 2014 adjustments: Litigation accrual was in Residential Products - $32m in 3Q and $22m in 4Q.</t>
    </r>
  </si>
  <si>
    <r>
      <rPr>
        <vertAlign val="superscript"/>
        <sz val="8"/>
        <color theme="1"/>
        <rFont val="Calibri"/>
        <family val="2"/>
        <scheme val="minor"/>
      </rPr>
      <t>8</t>
    </r>
    <r>
      <rPr>
        <sz val="8"/>
        <color theme="1"/>
        <rFont val="Calibri"/>
        <family val="2"/>
        <scheme val="minor"/>
      </rPr>
      <t xml:space="preserve"> 2015 adjustments: Litigation accrual was in Furniture, Flooring &amp; Textile Products - $2m in 2Q and $4m in 4Q; </t>
    </r>
  </si>
  <si>
    <r>
      <rPr>
        <vertAlign val="superscript"/>
        <sz val="8"/>
        <color theme="1"/>
        <rFont val="Calibri"/>
        <family val="2"/>
        <scheme val="minor"/>
      </rPr>
      <t>9</t>
    </r>
    <r>
      <rPr>
        <sz val="8"/>
        <color theme="1"/>
        <rFont val="Calibri"/>
        <family val="2"/>
        <scheme val="minor"/>
      </rPr>
      <t xml:space="preserve"> 2016 adjustments: Divestiture gains of $11m in Specialized Products - 2Q and $16m in Bedding Products - 4Q; </t>
    </r>
  </si>
  <si>
    <r>
      <rPr>
        <vertAlign val="superscript"/>
        <sz val="8"/>
        <color theme="1"/>
        <rFont val="Calibri"/>
        <family val="2"/>
        <scheme val="minor"/>
      </rPr>
      <t xml:space="preserve">10 </t>
    </r>
    <r>
      <rPr>
        <sz val="8"/>
        <color theme="1"/>
        <rFont val="Calibri"/>
        <family val="2"/>
        <scheme val="minor"/>
      </rPr>
      <t xml:space="preserve">2017 adjustments: Divestiture loss of $3m in Specialized Products - 3Q and real estate gain of $23m in Specialized Products - 4Q; Impairment charge in Bedding Products - 3Q; </t>
    </r>
  </si>
  <si>
    <r>
      <rPr>
        <vertAlign val="superscript"/>
        <sz val="8"/>
        <color theme="1"/>
        <rFont val="Calibri"/>
        <family val="2"/>
        <scheme val="minor"/>
      </rPr>
      <t>11</t>
    </r>
    <r>
      <rPr>
        <sz val="8"/>
        <color theme="1"/>
        <rFont val="Calibri"/>
        <family val="2"/>
        <scheme val="minor"/>
      </rPr>
      <t xml:space="preserve"> 2018 adjustments: Note impairment and acquisition-related transaction costs ($4m in SG&amp;A &amp; $3m in interest expense) in Bedding Products - 4Q;</t>
    </r>
  </si>
  <si>
    <r>
      <rPr>
        <vertAlign val="superscript"/>
        <sz val="8"/>
        <color theme="1"/>
        <rFont val="Calibri"/>
        <family val="2"/>
        <scheme val="minor"/>
      </rPr>
      <t>12</t>
    </r>
    <r>
      <rPr>
        <sz val="8"/>
        <color theme="1"/>
        <rFont val="Calibri"/>
        <family val="2"/>
        <scheme val="minor"/>
      </rPr>
      <t xml:space="preserve"> 2019 adjustments: Acquisition-related transaction costs of $1m in Bedding Products - 1Q; Restructuring-related charges in Bedding Products - $5m in 1Q, ($1m) in 2Q, $3m in 3Q and $2m in 4Q;</t>
    </r>
  </si>
  <si>
    <r>
      <rPr>
        <vertAlign val="superscript"/>
        <sz val="8"/>
        <color theme="1"/>
        <rFont val="Calibri"/>
        <family val="2"/>
        <scheme val="minor"/>
      </rPr>
      <t>13</t>
    </r>
    <r>
      <rPr>
        <sz val="8"/>
        <color theme="1"/>
        <rFont val="Calibri"/>
        <family val="2"/>
        <scheme val="minor"/>
      </rPr>
      <t xml:space="preserve"> 2020 adjustments: Impairment charge was in Specialized Products - $25m in 2Q; Impairment related to a note receivable of $8m in Bedding Products - 1Q;</t>
    </r>
  </si>
  <si>
    <r>
      <t>2021</t>
    </r>
    <r>
      <rPr>
        <b/>
        <vertAlign val="superscript"/>
        <sz val="10"/>
        <color theme="1"/>
        <rFont val="Calibri"/>
        <family val="2"/>
        <scheme val="minor"/>
      </rPr>
      <t xml:space="preserve"> 1</t>
    </r>
  </si>
  <si>
    <r>
      <t xml:space="preserve">2023 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</si>
  <si>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 xml:space="preserve">2024 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</si>
  <si>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2021 adjustment: Real estate gain of $28m in Bedding Products - 2Q.</t>
    </r>
  </si>
  <si>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2024 adjustments: Real estate gains in Bedding Products - $8m in 1Q, $5m in 2Q, $14m in 3Q and $4m in 4Q; </t>
    </r>
  </si>
  <si>
    <t xml:space="preserve">       Ratios -- Page 1</t>
  </si>
  <si>
    <t xml:space="preserve">       Ratios -- Page 2</t>
  </si>
  <si>
    <t xml:space="preserve">       Growth Rates &amp; Margins -- Page 1</t>
  </si>
  <si>
    <t xml:space="preserve">       Growth Rates &amp; Margins -- Page 2</t>
  </si>
  <si>
    <r>
      <t xml:space="preserve">       </t>
    </r>
    <r>
      <rPr>
        <b/>
        <sz val="20"/>
        <color indexed="9"/>
        <rFont val="Arial"/>
        <family val="2"/>
      </rPr>
      <t>Cash Flow</t>
    </r>
    <r>
      <rPr>
        <b/>
        <vertAlign val="superscript"/>
        <sz val="20"/>
        <color theme="0"/>
        <rFont val="Arial"/>
        <family val="2"/>
      </rPr>
      <t>1</t>
    </r>
    <r>
      <rPr>
        <b/>
        <sz val="20"/>
        <rFont val="Arial"/>
        <family val="2"/>
      </rPr>
      <t xml:space="preserve"> </t>
    </r>
    <r>
      <rPr>
        <b/>
        <sz val="20"/>
        <color theme="0"/>
        <rFont val="Arial"/>
        <family val="2"/>
      </rPr>
      <t>--  Page 1</t>
    </r>
  </si>
  <si>
    <r>
      <t xml:space="preserve">       </t>
    </r>
    <r>
      <rPr>
        <b/>
        <sz val="20"/>
        <color indexed="9"/>
        <rFont val="Arial"/>
        <family val="2"/>
      </rPr>
      <t>Cash Flow</t>
    </r>
    <r>
      <rPr>
        <b/>
        <vertAlign val="superscript"/>
        <sz val="20"/>
        <color theme="0"/>
        <rFont val="Arial"/>
        <family val="2"/>
      </rPr>
      <t>1</t>
    </r>
    <r>
      <rPr>
        <b/>
        <sz val="20"/>
        <color theme="0"/>
        <rFont val="Arial"/>
        <family val="2"/>
      </rPr>
      <t xml:space="preserve"> --  Page 2</t>
    </r>
  </si>
  <si>
    <r>
      <t xml:space="preserve">      </t>
    </r>
    <r>
      <rPr>
        <b/>
        <sz val="20"/>
        <color theme="0"/>
        <rFont val="Arial"/>
        <family val="2"/>
      </rPr>
      <t xml:space="preserve"> Balance Sheet</t>
    </r>
    <r>
      <rPr>
        <vertAlign val="superscript"/>
        <sz val="20"/>
        <color theme="0"/>
        <rFont val="Arial"/>
        <family val="2"/>
      </rPr>
      <t>1</t>
    </r>
    <r>
      <rPr>
        <sz val="20"/>
        <color theme="0"/>
        <rFont val="Arial"/>
        <family val="2"/>
      </rPr>
      <t xml:space="preserve"> </t>
    </r>
    <r>
      <rPr>
        <b/>
        <sz val="20"/>
        <color theme="0"/>
        <rFont val="Arial"/>
        <family val="2"/>
      </rPr>
      <t>--  Page 1</t>
    </r>
  </si>
  <si>
    <r>
      <t xml:space="preserve">      </t>
    </r>
    <r>
      <rPr>
        <b/>
        <sz val="20"/>
        <rFont val="Arial"/>
        <family val="2"/>
      </rPr>
      <t xml:space="preserve"> </t>
    </r>
    <r>
      <rPr>
        <b/>
        <sz val="20"/>
        <color indexed="9"/>
        <rFont val="Arial"/>
        <family val="2"/>
      </rPr>
      <t>Balance Sheet</t>
    </r>
    <r>
      <rPr>
        <vertAlign val="superscript"/>
        <sz val="20"/>
        <color theme="0"/>
        <rFont val="Arial"/>
        <family val="2"/>
      </rPr>
      <t>1</t>
    </r>
    <r>
      <rPr>
        <sz val="20"/>
        <rFont val="Arial"/>
        <family val="2"/>
      </rPr>
      <t xml:space="preserve"> </t>
    </r>
    <r>
      <rPr>
        <b/>
        <sz val="20"/>
        <color theme="0"/>
        <rFont val="Arial"/>
        <family val="2"/>
      </rPr>
      <t>--  Page 2</t>
    </r>
  </si>
  <si>
    <t>2025</t>
  </si>
  <si>
    <t>2015-2025</t>
  </si>
  <si>
    <r>
      <t xml:space="preserve">2025 </t>
    </r>
    <r>
      <rPr>
        <b/>
        <vertAlign val="superscript"/>
        <sz val="10"/>
        <color theme="1"/>
        <rFont val="Calibri"/>
        <family val="2"/>
        <scheme val="minor"/>
      </rPr>
      <t>4</t>
    </r>
  </si>
  <si>
    <t>Gain on sale of Aerospace</t>
  </si>
  <si>
    <t>Pension settlement</t>
  </si>
  <si>
    <t>Somnigroup unsolicited offer evaluation costs</t>
  </si>
  <si>
    <t>59 Year Financial History</t>
  </si>
  <si>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2025 adjustments: Real estate gains in Bedding Products - $17m in 2Q and $5m in 4Q, in Specialized Products $2m in 2Q, and in Furniture, Flooring &amp; Textile Products $3m in 1Q and $3m in 3Q;</t>
    </r>
  </si>
  <si>
    <t xml:space="preserve">    Gain on sale of Aerospace Products Group in Specialized Products - $87m in 3Q and $4m in 4Q;</t>
  </si>
  <si>
    <r>
      <t>2022</t>
    </r>
    <r>
      <rPr>
        <b/>
        <vertAlign val="superscript"/>
        <sz val="10"/>
        <color theme="1"/>
        <rFont val="Calibri"/>
        <family val="2"/>
        <scheme val="minor"/>
      </rPr>
      <t xml:space="preserve"> </t>
    </r>
  </si>
  <si>
    <t xml:space="preserve">Gain on net insurance proceeds </t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</si>
  <si>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2023 adjustment: Net insurance proceeds gain in Bedding Products - $1m in 2Q and $1m in 4Q and in Furniture, Flooring &amp; Textile Products - $3m in 2Q and $4m in 4Q;</t>
    </r>
  </si>
  <si>
    <t>Real estate gains in Bedding Products - $5m in 3Q and in Furniture, Flooring &amp; Textile Products - $6m in 4Q; Impairment charge was in Bedding Products - 4Q.</t>
  </si>
  <si>
    <t xml:space="preserve">    Goodwill impairment in Bedding Products - $587m in 2Q and $1m in 4Q; Goodwill impairment in Specialized Products - $44m in 2Q; Goodwill impairment in Furniture, Flooring &amp; Textile Products - $45m in 2Q;</t>
  </si>
  <si>
    <t xml:space="preserve">    Restructuring-related charges in Furniture, Flooring &amp; Textile Products - $1m in 2Q and $2m in 4Q;  Net insurance proceeds gain in Bedding Products - $13m in 3Q and $22m in 4Q;</t>
  </si>
  <si>
    <t xml:space="preserve">    Pension settlement was below segments - $22m in 4Q; Somnigroup unsolicited offer evaluation costs was below segments - $3m in 4Q; Special tax item of $2m in 3Q related to U.S. corporate income tax changes.</t>
  </si>
  <si>
    <t xml:space="preserve">    Restructuring-related charges in Bedding Products - $3m in 1Q, $2m in 2Q, $3m in 3Q and $17m in 4Q; Restructuring-related charges in Specialized Products - $3m in 1Q, $1m in 2Q,  $1m in 3Q and $3m in 4Q;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</si>
</sst>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_);\(0.0\)"/>
    <numFmt numFmtId="166" formatCode="_(* #,##0.0_);_(* \(#,##0.0\);_(* &quot;-&quot;??_);_(@_)"/>
    <numFmt numFmtId="167" formatCode="0.0"/>
    <numFmt numFmtId="168" formatCode="_(* #,##0.0_);_(* \(#,##0.0\);_(* &quot;-&quot;?_);_(@_)"/>
    <numFmt numFmtId="169" formatCode="_(* #,##0_);_(* \(#,##0\);_(* &quot;-&quot;??_);_(@_)"/>
    <numFmt numFmtId="170" formatCode="_(* #,##0.000_);_(* \(#,##0.000\);_(* &quot;-&quot;??_);_(@_)"/>
    <numFmt numFmtId="171" formatCode="0.000"/>
    <numFmt numFmtId="172" formatCode="0_);[Red]\(0\)"/>
    <numFmt numFmtId="173" formatCode="0.0_);[Red]\(0.0\)"/>
    <numFmt numFmtId="174" formatCode="0.0%"/>
    <numFmt numFmtId="175" formatCode="_(* #,##0.0000_);_(* \(#,##0.0000\);_(* &quot;-&quot;??_);_(@_)"/>
    <numFmt numFmtId="176" formatCode="0.00_);\(0.00\)"/>
    <numFmt numFmtId="177" formatCode="0.000_);\(0.000\)"/>
    <numFmt numFmtId="178" formatCode="#,##0.0_);\(#,##0.0\)"/>
    <numFmt numFmtId="179" formatCode="0.0%_);[Red]\(0.0%\)"/>
    <numFmt numFmtId="180" formatCode="_(&quot;$&quot;* #,##0.0_);_(&quot;$&quot;* \(#,##0.0\);_(&quot;$&quot;* &quot;-&quot;??_);_(@_)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vertAlign val="superscript"/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9"/>
      <name val="Times New Roman"/>
      <family val="1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i/>
      <sz val="9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theme="0"/>
      <name val="Arial"/>
      <family val="2"/>
    </font>
    <font>
      <sz val="13"/>
      <name val="Arial"/>
      <family val="2"/>
    </font>
    <font>
      <b/>
      <sz val="13"/>
      <color theme="0"/>
      <name val="Arial"/>
      <family val="2"/>
    </font>
    <font>
      <sz val="13"/>
      <color theme="0"/>
      <name val="Arial"/>
      <family val="2"/>
    </font>
    <font>
      <b/>
      <sz val="13.5"/>
      <color theme="0"/>
      <name val="Arial"/>
      <family val="2"/>
    </font>
    <font>
      <b/>
      <vertAlign val="superscript"/>
      <sz val="11"/>
      <name val="Arial"/>
      <family val="2"/>
    </font>
    <font>
      <b/>
      <sz val="11"/>
      <name val="Arial"/>
      <family val="2"/>
    </font>
    <font>
      <b/>
      <sz val="24"/>
      <color indexed="9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b/>
      <sz val="20"/>
      <color indexed="9"/>
      <name val="Arial"/>
      <family val="2"/>
    </font>
    <font>
      <sz val="20"/>
      <name val="Arial"/>
      <family val="2"/>
    </font>
    <font>
      <b/>
      <sz val="18"/>
      <color indexed="9"/>
      <name val="Arial"/>
      <family val="2"/>
    </font>
    <font>
      <b/>
      <sz val="22"/>
      <color indexed="9"/>
      <name val="Arial"/>
      <family val="2"/>
    </font>
    <font>
      <sz val="22"/>
      <color indexed="9"/>
      <name val="Arial"/>
      <family val="2"/>
    </font>
    <font>
      <b/>
      <vertAlign val="superscript"/>
      <sz val="20"/>
      <color rgb="FFFFFFFF"/>
      <name val="Arial"/>
      <family val="2"/>
    </font>
    <font>
      <b/>
      <vertAlign val="superscript"/>
      <sz val="20"/>
      <color theme="0"/>
      <name val="Arial"/>
      <family val="2"/>
    </font>
    <font>
      <vertAlign val="superscript"/>
      <sz val="20"/>
      <color theme="0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20"/>
      <color theme="0"/>
      <name val="Arial"/>
      <family val="2"/>
    </font>
    <font>
      <sz val="2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3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/>
    <xf numFmtId="0" fontId="0" fillId="0" borderId="0" xfId="0" applyAlignment="1">
      <alignment horizontal="center" wrapText="1"/>
    </xf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6" fontId="0" fillId="0" borderId="0" xfId="1" applyNumberFormat="1" applyFont="1" applyBorder="1" applyAlignment="1">
      <alignment horizontal="right" wrapText="1"/>
    </xf>
    <xf numFmtId="0" fontId="7" fillId="0" borderId="0" xfId="0" applyFont="1"/>
    <xf numFmtId="169" fontId="0" fillId="0" borderId="0" xfId="1" applyNumberFormat="1" applyFont="1" applyBorder="1" applyAlignment="1">
      <alignment horizontal="center"/>
    </xf>
    <xf numFmtId="43" fontId="0" fillId="0" borderId="0" xfId="1" applyFont="1" applyBorder="1" applyAlignment="1">
      <alignment horizontal="left"/>
    </xf>
    <xf numFmtId="0" fontId="8" fillId="0" borderId="0" xfId="0" applyFont="1" applyAlignment="1">
      <alignment horizontal="center" wrapText="1"/>
    </xf>
    <xf numFmtId="16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43" fontId="0" fillId="0" borderId="0" xfId="1" applyFont="1" applyBorder="1" applyAlignment="1">
      <alignment horizontal="right"/>
    </xf>
    <xf numFmtId="0" fontId="0" fillId="2" borderId="0" xfId="0" applyFill="1"/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43" fontId="0" fillId="0" borderId="0" xfId="1" applyFont="1" applyBorder="1" applyAlignment="1">
      <alignment horizontal="right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 wrapText="1"/>
    </xf>
    <xf numFmtId="172" fontId="0" fillId="0" borderId="0" xfId="0" applyNumberFormat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172" fontId="3" fillId="0" borderId="4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166" fontId="5" fillId="0" borderId="9" xfId="1" applyNumberFormat="1" applyFont="1" applyBorder="1" applyAlignment="1">
      <alignment horizontal="right" wrapText="1"/>
    </xf>
    <xf numFmtId="164" fontId="3" fillId="0" borderId="0" xfId="0" applyNumberFormat="1" applyFont="1"/>
    <xf numFmtId="0" fontId="11" fillId="0" borderId="0" xfId="0" applyFont="1"/>
    <xf numFmtId="174" fontId="11" fillId="0" borderId="0" xfId="3" applyNumberFormat="1" applyFont="1" applyBorder="1"/>
    <xf numFmtId="0" fontId="3" fillId="0" borderId="0" xfId="0" applyFont="1" applyAlignment="1">
      <alignment horizontal="right"/>
    </xf>
    <xf numFmtId="0" fontId="3" fillId="2" borderId="10" xfId="0" applyFont="1" applyFill="1" applyBorder="1" applyAlignment="1">
      <alignment horizontal="center" wrapText="1"/>
    </xf>
    <xf numFmtId="0" fontId="0" fillId="0" borderId="11" xfId="0" applyBorder="1"/>
    <xf numFmtId="0" fontId="3" fillId="0" borderId="0" xfId="0" applyFont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167" fontId="4" fillId="0" borderId="0" xfId="0" applyNumberFormat="1" applyFont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169" fontId="2" fillId="0" borderId="0" xfId="1" applyNumberFormat="1" applyBorder="1" applyAlignment="1">
      <alignment horizontal="center"/>
    </xf>
    <xf numFmtId="43" fontId="2" fillId="0" borderId="0" xfId="1" applyBorder="1" applyAlignment="1">
      <alignment horizontal="left"/>
    </xf>
    <xf numFmtId="169" fontId="2" fillId="0" borderId="0" xfId="1" applyNumberFormat="1" applyFont="1" applyBorder="1" applyAlignment="1">
      <alignment horizontal="center"/>
    </xf>
    <xf numFmtId="43" fontId="2" fillId="0" borderId="0" xfId="1" applyBorder="1" applyAlignment="1">
      <alignment horizontal="right"/>
    </xf>
    <xf numFmtId="0" fontId="0" fillId="0" borderId="12" xfId="0" applyBorder="1"/>
    <xf numFmtId="0" fontId="0" fillId="2" borderId="3" xfId="0" applyFill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164" fontId="4" fillId="0" borderId="0" xfId="0" applyNumberFormat="1" applyFont="1"/>
    <xf numFmtId="164" fontId="3" fillId="0" borderId="0" xfId="2" applyNumberFormat="1" applyFont="1" applyBorder="1"/>
    <xf numFmtId="164" fontId="4" fillId="0" borderId="0" xfId="2" applyNumberFormat="1" applyFont="1" applyBorder="1"/>
    <xf numFmtId="0" fontId="0" fillId="0" borderId="13" xfId="0" applyBorder="1"/>
    <xf numFmtId="164" fontId="3" fillId="0" borderId="13" xfId="0" applyNumberFormat="1" applyFont="1" applyBorder="1"/>
    <xf numFmtId="164" fontId="4" fillId="0" borderId="13" xfId="0" applyNumberFormat="1" applyFont="1" applyBorder="1"/>
    <xf numFmtId="164" fontId="4" fillId="0" borderId="0" xfId="2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/>
    <xf numFmtId="0" fontId="3" fillId="3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43" fontId="4" fillId="0" borderId="0" xfId="1" applyFont="1" applyBorder="1" applyAlignment="1">
      <alignment horizontal="right" wrapText="1"/>
    </xf>
    <xf numFmtId="170" fontId="4" fillId="0" borderId="0" xfId="1" applyNumberFormat="1" applyFont="1" applyBorder="1" applyAlignment="1">
      <alignment horizontal="right" wrapText="1"/>
    </xf>
    <xf numFmtId="169" fontId="4" fillId="0" borderId="0" xfId="1" applyNumberFormat="1" applyFont="1"/>
    <xf numFmtId="169" fontId="4" fillId="0" borderId="2" xfId="1" applyNumberFormat="1" applyFont="1" applyBorder="1"/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/>
    </xf>
    <xf numFmtId="166" fontId="5" fillId="0" borderId="17" xfId="1" applyNumberFormat="1" applyFont="1" applyBorder="1" applyAlignment="1">
      <alignment horizontal="right" wrapText="1"/>
    </xf>
    <xf numFmtId="0" fontId="15" fillId="2" borderId="8" xfId="0" applyFont="1" applyFill="1" applyBorder="1" applyAlignment="1">
      <alignment horizontal="center"/>
    </xf>
    <xf numFmtId="0" fontId="16" fillId="2" borderId="8" xfId="0" applyFont="1" applyFill="1" applyBorder="1"/>
    <xf numFmtId="0" fontId="16" fillId="2" borderId="11" xfId="0" applyFont="1" applyFill="1" applyBorder="1"/>
    <xf numFmtId="166" fontId="4" fillId="0" borderId="4" xfId="1" applyNumberFormat="1" applyFont="1" applyBorder="1" applyAlignment="1">
      <alignment horizontal="right" wrapText="1"/>
    </xf>
    <xf numFmtId="166" fontId="4" fillId="0" borderId="0" xfId="1" applyNumberFormat="1" applyFont="1" applyBorder="1" applyAlignment="1">
      <alignment horizontal="right" wrapText="1"/>
    </xf>
    <xf numFmtId="166" fontId="4" fillId="0" borderId="18" xfId="1" applyNumberFormat="1" applyFont="1" applyBorder="1" applyAlignment="1">
      <alignment horizontal="right" wrapText="1"/>
    </xf>
    <xf numFmtId="166" fontId="4" fillId="0" borderId="0" xfId="1" applyNumberFormat="1" applyFont="1" applyFill="1" applyBorder="1" applyAlignment="1">
      <alignment horizontal="right" wrapText="1"/>
    </xf>
    <xf numFmtId="166" fontId="4" fillId="0" borderId="3" xfId="1" applyNumberFormat="1" applyFont="1" applyBorder="1" applyAlignment="1">
      <alignment horizontal="right" wrapText="1"/>
    </xf>
    <xf numFmtId="43" fontId="4" fillId="0" borderId="4" xfId="1" applyFont="1" applyBorder="1" applyAlignment="1">
      <alignment horizontal="right" wrapText="1"/>
    </xf>
    <xf numFmtId="43" fontId="4" fillId="0" borderId="3" xfId="1" applyFont="1" applyBorder="1" applyAlignment="1">
      <alignment horizontal="right" wrapText="1"/>
    </xf>
    <xf numFmtId="166" fontId="4" fillId="0" borderId="0" xfId="1" applyNumberFormat="1" applyFont="1" applyBorder="1" applyAlignment="1">
      <alignment horizontal="center" wrapText="1"/>
    </xf>
    <xf numFmtId="170" fontId="4" fillId="0" borderId="4" xfId="1" applyNumberFormat="1" applyFont="1" applyBorder="1" applyAlignment="1">
      <alignment horizontal="right" wrapText="1"/>
    </xf>
    <xf numFmtId="175" fontId="4" fillId="0" borderId="0" xfId="1" applyNumberFormat="1" applyFont="1" applyBorder="1" applyAlignment="1">
      <alignment horizontal="right" wrapText="1"/>
    </xf>
    <xf numFmtId="166" fontId="4" fillId="0" borderId="0" xfId="1" quotePrefix="1" applyNumberFormat="1" applyFont="1" applyBorder="1" applyAlignment="1">
      <alignment horizontal="center" wrapText="1"/>
    </xf>
    <xf numFmtId="166" fontId="4" fillId="0" borderId="19" xfId="1" applyNumberFormat="1" applyFont="1" applyBorder="1" applyAlignment="1">
      <alignment horizontal="right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4" fillId="0" borderId="20" xfId="1" applyNumberFormat="1" applyFont="1" applyBorder="1" applyAlignment="1">
      <alignment horizontal="right" wrapText="1"/>
    </xf>
    <xf numFmtId="43" fontId="4" fillId="0" borderId="19" xfId="1" applyFont="1" applyBorder="1" applyAlignment="1">
      <alignment horizontal="right" wrapText="1"/>
    </xf>
    <xf numFmtId="43" fontId="4" fillId="0" borderId="1" xfId="1" applyFont="1" applyBorder="1" applyAlignment="1">
      <alignment horizontal="right" wrapText="1"/>
    </xf>
    <xf numFmtId="43" fontId="4" fillId="0" borderId="20" xfId="1" applyFont="1" applyBorder="1" applyAlignment="1">
      <alignment horizontal="right" wrapText="1"/>
    </xf>
    <xf numFmtId="166" fontId="4" fillId="0" borderId="1" xfId="1" applyNumberFormat="1" applyFont="1" applyBorder="1" applyAlignment="1">
      <alignment horizontal="center" wrapText="1"/>
    </xf>
    <xf numFmtId="170" fontId="4" fillId="0" borderId="19" xfId="1" applyNumberFormat="1" applyFont="1" applyBorder="1" applyAlignment="1">
      <alignment horizontal="right" wrapText="1"/>
    </xf>
    <xf numFmtId="170" fontId="4" fillId="0" borderId="1" xfId="1" applyNumberFormat="1" applyFont="1" applyBorder="1" applyAlignment="1">
      <alignment horizontal="right" wrapText="1"/>
    </xf>
    <xf numFmtId="175" fontId="4" fillId="0" borderId="1" xfId="1" applyNumberFormat="1" applyFont="1" applyBorder="1" applyAlignment="1">
      <alignment horizontal="right" wrapText="1"/>
    </xf>
    <xf numFmtId="166" fontId="4" fillId="0" borderId="1" xfId="1" quotePrefix="1" applyNumberFormat="1" applyFont="1" applyBorder="1" applyAlignment="1">
      <alignment horizontal="center" wrapText="1"/>
    </xf>
    <xf numFmtId="0" fontId="18" fillId="0" borderId="0" xfId="0" applyFont="1" applyAlignment="1">
      <alignment horizontal="right" wrapText="1"/>
    </xf>
    <xf numFmtId="0" fontId="18" fillId="0" borderId="4" xfId="0" applyFont="1" applyBorder="1" applyAlignment="1">
      <alignment horizontal="right" wrapText="1"/>
    </xf>
    <xf numFmtId="167" fontId="19" fillId="0" borderId="0" xfId="0" applyNumberFormat="1" applyFont="1" applyAlignment="1">
      <alignment horizontal="right" wrapText="1"/>
    </xf>
    <xf numFmtId="0" fontId="18" fillId="0" borderId="3" xfId="0" applyFont="1" applyBorder="1" applyAlignment="1">
      <alignment horizontal="right" wrapText="1"/>
    </xf>
    <xf numFmtId="167" fontId="19" fillId="0" borderId="22" xfId="0" applyNumberFormat="1" applyFont="1" applyBorder="1" applyAlignment="1">
      <alignment horizontal="right" wrapText="1"/>
    </xf>
    <xf numFmtId="166" fontId="19" fillId="0" borderId="4" xfId="1" applyNumberFormat="1" applyFont="1" applyBorder="1" applyAlignment="1">
      <alignment horizontal="right" wrapText="1"/>
    </xf>
    <xf numFmtId="166" fontId="19" fillId="0" borderId="0" xfId="1" applyNumberFormat="1" applyFont="1" applyBorder="1" applyAlignment="1">
      <alignment horizontal="right" wrapText="1"/>
    </xf>
    <xf numFmtId="166" fontId="19" fillId="0" borderId="3" xfId="1" applyNumberFormat="1" applyFont="1" applyBorder="1" applyAlignment="1">
      <alignment horizontal="right" wrapText="1"/>
    </xf>
    <xf numFmtId="43" fontId="19" fillId="0" borderId="0" xfId="1" applyFont="1" applyBorder="1" applyAlignment="1">
      <alignment horizontal="right" wrapText="1"/>
    </xf>
    <xf numFmtId="166" fontId="19" fillId="0" borderId="19" xfId="1" applyNumberFormat="1" applyFont="1" applyBorder="1" applyAlignment="1">
      <alignment horizontal="right" wrapText="1"/>
    </xf>
    <xf numFmtId="166" fontId="19" fillId="0" borderId="1" xfId="1" applyNumberFormat="1" applyFont="1" applyBorder="1" applyAlignment="1">
      <alignment horizontal="right" wrapText="1"/>
    </xf>
    <xf numFmtId="166" fontId="19" fillId="0" borderId="20" xfId="1" applyNumberFormat="1" applyFont="1" applyBorder="1" applyAlignment="1">
      <alignment horizontal="right" wrapText="1"/>
    </xf>
    <xf numFmtId="43" fontId="19" fillId="0" borderId="1" xfId="1" applyFont="1" applyBorder="1" applyAlignment="1">
      <alignment horizontal="right" wrapText="1"/>
    </xf>
    <xf numFmtId="166" fontId="20" fillId="0" borderId="0" xfId="1" applyNumberFormat="1" applyFont="1" applyBorder="1" applyAlignment="1">
      <alignment horizontal="left"/>
    </xf>
    <xf numFmtId="166" fontId="20" fillId="0" borderId="0" xfId="1" applyNumberFormat="1" applyFont="1" applyBorder="1" applyAlignment="1">
      <alignment horizontal="right" wrapText="1"/>
    </xf>
    <xf numFmtId="166" fontId="21" fillId="0" borderId="0" xfId="1" applyNumberFormat="1" applyFont="1" applyBorder="1" applyAlignment="1">
      <alignment horizontal="right" wrapText="1"/>
    </xf>
    <xf numFmtId="166" fontId="21" fillId="0" borderId="4" xfId="1" applyNumberFormat="1" applyFont="1" applyBorder="1" applyAlignment="1">
      <alignment horizontal="right" wrapText="1"/>
    </xf>
    <xf numFmtId="166" fontId="21" fillId="0" borderId="3" xfId="1" applyNumberFormat="1" applyFont="1" applyBorder="1" applyAlignment="1">
      <alignment horizontal="right" wrapText="1"/>
    </xf>
    <xf numFmtId="166" fontId="21" fillId="0" borderId="19" xfId="1" applyNumberFormat="1" applyFont="1" applyBorder="1" applyAlignment="1">
      <alignment horizontal="right" wrapText="1"/>
    </xf>
    <xf numFmtId="166" fontId="21" fillId="0" borderId="1" xfId="1" applyNumberFormat="1" applyFont="1" applyBorder="1" applyAlignment="1">
      <alignment horizontal="right" wrapText="1"/>
    </xf>
    <xf numFmtId="166" fontId="20" fillId="0" borderId="1" xfId="1" applyNumberFormat="1" applyFont="1" applyBorder="1" applyAlignment="1">
      <alignment horizontal="left"/>
    </xf>
    <xf numFmtId="166" fontId="21" fillId="0" borderId="20" xfId="1" applyNumberFormat="1" applyFont="1" applyBorder="1" applyAlignment="1">
      <alignment horizontal="right" wrapText="1"/>
    </xf>
    <xf numFmtId="167" fontId="4" fillId="0" borderId="3" xfId="0" applyNumberFormat="1" applyFont="1" applyBorder="1" applyAlignment="1">
      <alignment horizontal="right" wrapText="1"/>
    </xf>
    <xf numFmtId="167" fontId="4" fillId="0" borderId="4" xfId="0" applyNumberFormat="1" applyFont="1" applyBorder="1" applyAlignment="1">
      <alignment horizontal="right" wrapText="1"/>
    </xf>
    <xf numFmtId="166" fontId="4" fillId="0" borderId="16" xfId="1" applyNumberFormat="1" applyFont="1" applyBorder="1" applyAlignment="1">
      <alignment horizontal="right" wrapText="1"/>
    </xf>
    <xf numFmtId="3" fontId="4" fillId="0" borderId="0" xfId="1" applyNumberFormat="1" applyFont="1" applyBorder="1" applyAlignment="1">
      <alignment horizontal="right" wrapText="1"/>
    </xf>
    <xf numFmtId="3" fontId="4" fillId="0" borderId="3" xfId="1" applyNumberFormat="1" applyFont="1" applyBorder="1" applyAlignment="1">
      <alignment horizontal="right" wrapText="1"/>
    </xf>
    <xf numFmtId="166" fontId="4" fillId="0" borderId="23" xfId="1" applyNumberFormat="1" applyFont="1" applyBorder="1" applyAlignment="1">
      <alignment horizontal="right" wrapText="1"/>
    </xf>
    <xf numFmtId="3" fontId="4" fillId="0" borderId="1" xfId="1" applyNumberFormat="1" applyFont="1" applyBorder="1" applyAlignment="1">
      <alignment horizontal="right" wrapText="1"/>
    </xf>
    <xf numFmtId="3" fontId="4" fillId="0" borderId="20" xfId="1" applyNumberFormat="1" applyFont="1" applyBorder="1" applyAlignment="1">
      <alignment horizontal="right" wrapText="1"/>
    </xf>
    <xf numFmtId="0" fontId="2" fillId="2" borderId="0" xfId="0" applyFont="1" applyFill="1" applyAlignment="1">
      <alignment horizontal="center" wrapText="1"/>
    </xf>
    <xf numFmtId="166" fontId="22" fillId="0" borderId="4" xfId="1" applyNumberFormat="1" applyFont="1" applyBorder="1" applyAlignment="1">
      <alignment horizontal="right" wrapText="1"/>
    </xf>
    <xf numFmtId="166" fontId="22" fillId="0" borderId="0" xfId="1" applyNumberFormat="1" applyFont="1" applyBorder="1" applyAlignment="1">
      <alignment horizontal="right" wrapText="1"/>
    </xf>
    <xf numFmtId="166" fontId="22" fillId="0" borderId="3" xfId="1" applyNumberFormat="1" applyFont="1" applyBorder="1" applyAlignment="1">
      <alignment horizontal="right" wrapText="1"/>
    </xf>
    <xf numFmtId="166" fontId="22" fillId="0" borderId="0" xfId="1" applyNumberFormat="1" applyFont="1" applyFill="1" applyBorder="1" applyAlignment="1">
      <alignment horizontal="right" wrapText="1"/>
    </xf>
    <xf numFmtId="166" fontId="22" fillId="0" borderId="3" xfId="1" applyNumberFormat="1" applyFont="1" applyFill="1" applyBorder="1" applyAlignment="1">
      <alignment horizontal="right" wrapText="1"/>
    </xf>
    <xf numFmtId="165" fontId="22" fillId="0" borderId="4" xfId="0" applyNumberFormat="1" applyFont="1" applyBorder="1"/>
    <xf numFmtId="165" fontId="22" fillId="0" borderId="0" xfId="0" applyNumberFormat="1" applyFont="1"/>
    <xf numFmtId="166" fontId="22" fillId="0" borderId="4" xfId="1" applyNumberFormat="1" applyFont="1" applyFill="1" applyBorder="1" applyAlignment="1">
      <alignment horizontal="right" wrapText="1"/>
    </xf>
    <xf numFmtId="0" fontId="22" fillId="0" borderId="0" xfId="0" applyFont="1" applyAlignment="1">
      <alignment horizontal="center"/>
    </xf>
    <xf numFmtId="0" fontId="23" fillId="2" borderId="0" xfId="0" applyFont="1" applyFill="1" applyAlignment="1">
      <alignment horizontal="center" wrapText="1"/>
    </xf>
    <xf numFmtId="173" fontId="22" fillId="0" borderId="0" xfId="0" applyNumberFormat="1" applyFont="1"/>
    <xf numFmtId="0" fontId="23" fillId="2" borderId="1" xfId="0" applyFont="1" applyFill="1" applyBorder="1" applyAlignment="1">
      <alignment horizontal="center" wrapText="1"/>
    </xf>
    <xf numFmtId="166" fontId="22" fillId="0" borderId="19" xfId="1" applyNumberFormat="1" applyFont="1" applyBorder="1" applyAlignment="1">
      <alignment horizontal="right" wrapText="1"/>
    </xf>
    <xf numFmtId="166" fontId="22" fillId="0" borderId="1" xfId="1" applyNumberFormat="1" applyFont="1" applyBorder="1" applyAlignment="1">
      <alignment horizontal="right" wrapText="1"/>
    </xf>
    <xf numFmtId="166" fontId="22" fillId="0" borderId="20" xfId="1" applyNumberFormat="1" applyFont="1" applyBorder="1" applyAlignment="1">
      <alignment horizontal="right" wrapText="1"/>
    </xf>
    <xf numFmtId="166" fontId="22" fillId="0" borderId="1" xfId="1" applyNumberFormat="1" applyFont="1" applyFill="1" applyBorder="1" applyAlignment="1">
      <alignment horizontal="right" wrapText="1"/>
    </xf>
    <xf numFmtId="166" fontId="22" fillId="0" borderId="20" xfId="1" applyNumberFormat="1" applyFont="1" applyFill="1" applyBorder="1" applyAlignment="1">
      <alignment horizontal="right" wrapText="1"/>
    </xf>
    <xf numFmtId="165" fontId="22" fillId="0" borderId="19" xfId="0" applyNumberFormat="1" applyFont="1" applyBorder="1"/>
    <xf numFmtId="165" fontId="22" fillId="0" borderId="1" xfId="0" applyNumberFormat="1" applyFont="1" applyBorder="1"/>
    <xf numFmtId="173" fontId="22" fillId="0" borderId="1" xfId="0" applyNumberFormat="1" applyFont="1" applyBorder="1"/>
    <xf numFmtId="166" fontId="22" fillId="0" borderId="19" xfId="1" applyNumberFormat="1" applyFont="1" applyFill="1" applyBorder="1" applyAlignment="1">
      <alignment horizontal="right" wrapText="1"/>
    </xf>
    <xf numFmtId="0" fontId="22" fillId="0" borderId="1" xfId="0" applyFont="1" applyBorder="1" applyAlignment="1">
      <alignment horizontal="center"/>
    </xf>
    <xf numFmtId="0" fontId="22" fillId="0" borderId="4" xfId="1" applyNumberFormat="1" applyFont="1" applyFill="1" applyBorder="1" applyAlignment="1">
      <alignment horizontal="right" wrapText="1"/>
    </xf>
    <xf numFmtId="9" fontId="22" fillId="0" borderId="0" xfId="3" applyFont="1" applyBorder="1"/>
    <xf numFmtId="166" fontId="22" fillId="0" borderId="8" xfId="1" applyNumberFormat="1" applyFont="1" applyBorder="1" applyAlignment="1">
      <alignment horizontal="right" wrapText="1"/>
    </xf>
    <xf numFmtId="0" fontId="23" fillId="2" borderId="3" xfId="0" applyFont="1" applyFill="1" applyBorder="1" applyAlignment="1">
      <alignment horizontal="center" wrapText="1"/>
    </xf>
    <xf numFmtId="166" fontId="22" fillId="0" borderId="9" xfId="1" applyNumberFormat="1" applyFont="1" applyBorder="1" applyAlignment="1">
      <alignment horizontal="right" wrapText="1"/>
    </xf>
    <xf numFmtId="166" fontId="22" fillId="0" borderId="14" xfId="1" applyNumberFormat="1" applyFont="1" applyBorder="1" applyAlignment="1">
      <alignment horizontal="right" wrapText="1"/>
    </xf>
    <xf numFmtId="165" fontId="22" fillId="0" borderId="21" xfId="0" applyNumberFormat="1" applyFont="1" applyBorder="1"/>
    <xf numFmtId="165" fontId="22" fillId="0" borderId="9" xfId="0" applyNumberFormat="1" applyFont="1" applyBorder="1"/>
    <xf numFmtId="0" fontId="23" fillId="0" borderId="0" xfId="0" applyFont="1"/>
    <xf numFmtId="172" fontId="23" fillId="0" borderId="0" xfId="0" applyNumberFormat="1" applyFont="1"/>
    <xf numFmtId="0" fontId="24" fillId="0" borderId="0" xfId="0" applyFont="1"/>
    <xf numFmtId="0" fontId="25" fillId="0" borderId="0" xfId="0" applyFont="1"/>
    <xf numFmtId="173" fontId="25" fillId="0" borderId="0" xfId="0" applyNumberFormat="1" applyFont="1"/>
    <xf numFmtId="172" fontId="25" fillId="0" borderId="0" xfId="0" applyNumberFormat="1" applyFont="1"/>
    <xf numFmtId="165" fontId="22" fillId="0" borderId="4" xfId="1" applyNumberFormat="1" applyFont="1" applyBorder="1" applyAlignment="1">
      <alignment horizontal="center" wrapText="1"/>
    </xf>
    <xf numFmtId="165" fontId="22" fillId="0" borderId="3" xfId="1" applyNumberFormat="1" applyFont="1" applyFill="1" applyBorder="1" applyAlignment="1">
      <alignment horizontal="center" wrapText="1"/>
    </xf>
    <xf numFmtId="174" fontId="22" fillId="0" borderId="4" xfId="3" applyNumberFormat="1" applyFont="1" applyFill="1" applyBorder="1" applyAlignment="1">
      <alignment horizontal="center" wrapText="1"/>
    </xf>
    <xf numFmtId="165" fontId="22" fillId="0" borderId="0" xfId="1" applyNumberFormat="1" applyFont="1" applyBorder="1" applyAlignment="1">
      <alignment horizontal="center" wrapText="1"/>
    </xf>
    <xf numFmtId="174" fontId="22" fillId="0" borderId="0" xfId="3" applyNumberFormat="1" applyFont="1" applyBorder="1" applyAlignment="1">
      <alignment horizontal="center" wrapText="1"/>
    </xf>
    <xf numFmtId="174" fontId="22" fillId="0" borderId="3" xfId="3" applyNumberFormat="1" applyFont="1" applyFill="1" applyBorder="1" applyAlignment="1">
      <alignment horizontal="center" wrapText="1"/>
    </xf>
    <xf numFmtId="165" fontId="22" fillId="0" borderId="0" xfId="1" applyNumberFormat="1" applyFont="1" applyFill="1" applyBorder="1" applyAlignment="1">
      <alignment horizontal="center" wrapText="1"/>
    </xf>
    <xf numFmtId="174" fontId="22" fillId="0" borderId="0" xfId="3" applyNumberFormat="1" applyFont="1" applyFill="1" applyBorder="1" applyAlignment="1">
      <alignment horizontal="center" wrapText="1"/>
    </xf>
    <xf numFmtId="9" fontId="22" fillId="0" borderId="0" xfId="3" applyFont="1" applyFill="1" applyBorder="1" applyAlignment="1">
      <alignment horizontal="center" wrapText="1"/>
    </xf>
    <xf numFmtId="9" fontId="22" fillId="0" borderId="4" xfId="3" applyFont="1" applyBorder="1" applyAlignment="1">
      <alignment horizontal="center" wrapText="1"/>
    </xf>
    <xf numFmtId="9" fontId="22" fillId="0" borderId="0" xfId="3" applyFont="1" applyBorder="1" applyAlignment="1">
      <alignment horizontal="center" wrapText="1"/>
    </xf>
    <xf numFmtId="165" fontId="22" fillId="0" borderId="3" xfId="1" applyNumberFormat="1" applyFont="1" applyBorder="1" applyAlignment="1">
      <alignment horizontal="center" wrapText="1"/>
    </xf>
    <xf numFmtId="174" fontId="22" fillId="0" borderId="4" xfId="3" applyNumberFormat="1" applyFont="1" applyBorder="1" applyAlignment="1">
      <alignment horizontal="center" wrapText="1"/>
    </xf>
    <xf numFmtId="174" fontId="22" fillId="0" borderId="3" xfId="3" applyNumberFormat="1" applyFont="1" applyBorder="1" applyAlignment="1">
      <alignment horizontal="center" wrapText="1"/>
    </xf>
    <xf numFmtId="165" fontId="22" fillId="0" borderId="19" xfId="1" applyNumberFormat="1" applyFont="1" applyBorder="1" applyAlignment="1">
      <alignment horizontal="center" wrapText="1"/>
    </xf>
    <xf numFmtId="165" fontId="22" fillId="0" borderId="20" xfId="1" applyNumberFormat="1" applyFont="1" applyBorder="1" applyAlignment="1">
      <alignment horizontal="center" wrapText="1"/>
    </xf>
    <xf numFmtId="174" fontId="22" fillId="0" borderId="19" xfId="3" applyNumberFormat="1" applyFont="1" applyBorder="1" applyAlignment="1">
      <alignment horizontal="center" wrapText="1"/>
    </xf>
    <xf numFmtId="165" fontId="22" fillId="0" borderId="1" xfId="1" applyNumberFormat="1" applyFont="1" applyBorder="1" applyAlignment="1">
      <alignment horizontal="center" wrapText="1"/>
    </xf>
    <xf numFmtId="174" fontId="22" fillId="0" borderId="1" xfId="3" applyNumberFormat="1" applyFont="1" applyBorder="1" applyAlignment="1">
      <alignment horizontal="center" wrapText="1"/>
    </xf>
    <xf numFmtId="174" fontId="22" fillId="0" borderId="20" xfId="3" applyNumberFormat="1" applyFont="1" applyBorder="1" applyAlignment="1">
      <alignment horizontal="center" wrapText="1"/>
    </xf>
    <xf numFmtId="9" fontId="22" fillId="0" borderId="1" xfId="3" applyFont="1" applyBorder="1" applyAlignment="1">
      <alignment horizontal="center" wrapText="1"/>
    </xf>
    <xf numFmtId="9" fontId="22" fillId="0" borderId="19" xfId="3" applyFont="1" applyBorder="1" applyAlignment="1">
      <alignment horizontal="center" wrapText="1"/>
    </xf>
    <xf numFmtId="0" fontId="23" fillId="2" borderId="9" xfId="0" applyFont="1" applyFill="1" applyBorder="1" applyAlignment="1">
      <alignment horizontal="center" wrapText="1"/>
    </xf>
    <xf numFmtId="174" fontId="4" fillId="0" borderId="0" xfId="3" applyNumberFormat="1" applyFont="1"/>
    <xf numFmtId="169" fontId="4" fillId="0" borderId="1" xfId="1" applyNumberFormat="1" applyFont="1" applyBorder="1"/>
    <xf numFmtId="169" fontId="4" fillId="0" borderId="0" xfId="1" applyNumberFormat="1" applyFont="1" applyBorder="1"/>
    <xf numFmtId="0" fontId="4" fillId="0" borderId="0" xfId="0" applyFont="1" applyAlignment="1">
      <alignment horizontal="right"/>
    </xf>
    <xf numFmtId="174" fontId="4" fillId="0" borderId="0" xfId="0" applyNumberFormat="1" applyFont="1"/>
    <xf numFmtId="174" fontId="2" fillId="0" borderId="0" xfId="3" applyNumberFormat="1"/>
    <xf numFmtId="166" fontId="2" fillId="0" borderId="19" xfId="1" applyNumberFormat="1" applyFont="1" applyBorder="1" applyAlignment="1">
      <alignment horizontal="right" wrapText="1"/>
    </xf>
    <xf numFmtId="166" fontId="2" fillId="0" borderId="1" xfId="1" applyNumberFormat="1" applyFont="1" applyBorder="1" applyAlignment="1">
      <alignment horizontal="right" wrapText="1"/>
    </xf>
    <xf numFmtId="166" fontId="2" fillId="0" borderId="20" xfId="1" applyNumberFormat="1" applyFont="1" applyBorder="1" applyAlignment="1">
      <alignment horizontal="right" wrapText="1"/>
    </xf>
    <xf numFmtId="169" fontId="3" fillId="0" borderId="0" xfId="1" applyNumberFormat="1" applyFont="1" applyBorder="1"/>
    <xf numFmtId="165" fontId="22" fillId="0" borderId="0" xfId="0" quotePrefix="1" applyNumberFormat="1" applyFont="1"/>
    <xf numFmtId="176" fontId="0" fillId="0" borderId="0" xfId="0" applyNumberFormat="1"/>
    <xf numFmtId="177" fontId="0" fillId="0" borderId="0" xfId="0" applyNumberFormat="1"/>
    <xf numFmtId="171" fontId="27" fillId="0" borderId="0" xfId="0" applyNumberFormat="1" applyFont="1"/>
    <xf numFmtId="166" fontId="21" fillId="0" borderId="0" xfId="1" applyNumberFormat="1" applyFont="1" applyFill="1" applyBorder="1" applyAlignment="1">
      <alignment horizontal="right" wrapText="1"/>
    </xf>
    <xf numFmtId="43" fontId="4" fillId="0" borderId="0" xfId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>
      <alignment horizontal="center" wrapText="1"/>
    </xf>
    <xf numFmtId="170" fontId="4" fillId="0" borderId="0" xfId="1" applyNumberFormat="1" applyFont="1" applyFill="1" applyBorder="1" applyAlignment="1">
      <alignment horizontal="right" wrapText="1"/>
    </xf>
    <xf numFmtId="178" fontId="28" fillId="0" borderId="0" xfId="0" applyNumberFormat="1" applyFont="1" applyProtection="1">
      <protection locked="0"/>
    </xf>
    <xf numFmtId="0" fontId="2" fillId="3" borderId="0" xfId="0" applyFont="1" applyFill="1"/>
    <xf numFmtId="0" fontId="2" fillId="0" borderId="0" xfId="0" applyFont="1"/>
    <xf numFmtId="166" fontId="22" fillId="0" borderId="25" xfId="1" applyNumberFormat="1" applyFont="1" applyBorder="1" applyAlignment="1">
      <alignment horizontal="right" wrapText="1"/>
    </xf>
    <xf numFmtId="3" fontId="4" fillId="0" borderId="0" xfId="1" applyNumberFormat="1" applyFont="1" applyFill="1" applyBorder="1" applyAlignment="1">
      <alignment horizontal="right" wrapText="1"/>
    </xf>
    <xf numFmtId="166" fontId="0" fillId="0" borderId="0" xfId="1" applyNumberFormat="1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23" fillId="2" borderId="26" xfId="0" applyFont="1" applyFill="1" applyBorder="1" applyAlignment="1">
      <alignment horizontal="center" wrapText="1"/>
    </xf>
    <xf numFmtId="165" fontId="22" fillId="0" borderId="25" xfId="1" applyNumberFormat="1" applyFont="1" applyBorder="1" applyAlignment="1">
      <alignment horizontal="center" wrapText="1"/>
    </xf>
    <xf numFmtId="165" fontId="22" fillId="0" borderId="27" xfId="1" applyNumberFormat="1" applyFont="1" applyBorder="1" applyAlignment="1">
      <alignment horizontal="center" wrapText="1"/>
    </xf>
    <xf numFmtId="165" fontId="22" fillId="0" borderId="26" xfId="1" applyNumberFormat="1" applyFont="1" applyBorder="1" applyAlignment="1">
      <alignment horizontal="center" wrapText="1"/>
    </xf>
    <xf numFmtId="174" fontId="22" fillId="0" borderId="26" xfId="3" applyNumberFormat="1" applyFont="1" applyBorder="1" applyAlignment="1">
      <alignment horizontal="center" wrapText="1"/>
    </xf>
    <xf numFmtId="174" fontId="22" fillId="0" borderId="27" xfId="3" applyNumberFormat="1" applyFont="1" applyBorder="1" applyAlignment="1">
      <alignment horizontal="center" wrapText="1"/>
    </xf>
    <xf numFmtId="9" fontId="22" fillId="0" borderId="26" xfId="3" applyFont="1" applyBorder="1" applyAlignment="1">
      <alignment horizontal="center" wrapText="1"/>
    </xf>
    <xf numFmtId="9" fontId="22" fillId="0" borderId="25" xfId="3" applyFont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174" fontId="22" fillId="0" borderId="16" xfId="3" applyNumberFormat="1" applyFont="1" applyFill="1" applyBorder="1" applyAlignment="1">
      <alignment horizontal="center" wrapText="1"/>
    </xf>
    <xf numFmtId="174" fontId="22" fillId="0" borderId="16" xfId="3" applyNumberFormat="1" applyFont="1" applyBorder="1" applyAlignment="1">
      <alignment horizontal="center" wrapText="1"/>
    </xf>
    <xf numFmtId="174" fontId="22" fillId="0" borderId="23" xfId="3" applyNumberFormat="1" applyFont="1" applyBorder="1" applyAlignment="1">
      <alignment horizontal="center" wrapText="1"/>
    </xf>
    <xf numFmtId="164" fontId="4" fillId="0" borderId="0" xfId="2" applyNumberFormat="1" applyFont="1" applyFill="1" applyBorder="1"/>
    <xf numFmtId="164" fontId="3" fillId="0" borderId="0" xfId="2" applyNumberFormat="1" applyFont="1" applyFill="1" applyBorder="1"/>
    <xf numFmtId="174" fontId="4" fillId="0" borderId="0" xfId="3" applyNumberFormat="1" applyFont="1" applyFill="1"/>
    <xf numFmtId="164" fontId="4" fillId="0" borderId="0" xfId="2" applyNumberFormat="1" applyFont="1" applyFill="1" applyBorder="1" applyAlignment="1">
      <alignment horizontal="right"/>
    </xf>
    <xf numFmtId="0" fontId="30" fillId="0" borderId="0" xfId="0" applyFont="1"/>
    <xf numFmtId="0" fontId="19" fillId="0" borderId="0" xfId="0" applyFont="1"/>
    <xf numFmtId="0" fontId="18" fillId="0" borderId="0" xfId="0" applyFont="1"/>
    <xf numFmtId="0" fontId="9" fillId="0" borderId="0" xfId="0" applyFont="1"/>
    <xf numFmtId="179" fontId="4" fillId="0" borderId="0" xfId="3" applyNumberFormat="1" applyFont="1"/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2"/>
    </xf>
    <xf numFmtId="0" fontId="11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0" fillId="2" borderId="22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166" fontId="5" fillId="0" borderId="9" xfId="1" applyNumberFormat="1" applyFont="1" applyBorder="1" applyAlignment="1">
      <alignment horizontal="center" wrapText="1"/>
    </xf>
    <xf numFmtId="173" fontId="5" fillId="0" borderId="21" xfId="0" applyNumberFormat="1" applyFont="1" applyBorder="1"/>
    <xf numFmtId="166" fontId="5" fillId="0" borderId="9" xfId="1" applyNumberFormat="1" applyFont="1" applyBorder="1" applyAlignment="1">
      <alignment wrapText="1"/>
    </xf>
    <xf numFmtId="0" fontId="32" fillId="0" borderId="0" xfId="0" applyFont="1"/>
    <xf numFmtId="0" fontId="0" fillId="2" borderId="26" xfId="0" applyFill="1" applyBorder="1" applyAlignment="1">
      <alignment horizontal="center" wrapText="1"/>
    </xf>
    <xf numFmtId="166" fontId="4" fillId="0" borderId="25" xfId="1" applyNumberFormat="1" applyFont="1" applyBorder="1" applyAlignment="1">
      <alignment horizontal="right" wrapText="1"/>
    </xf>
    <xf numFmtId="166" fontId="4" fillId="0" borderId="26" xfId="1" applyNumberFormat="1" applyFont="1" applyBorder="1" applyAlignment="1">
      <alignment horizontal="right" wrapText="1"/>
    </xf>
    <xf numFmtId="166" fontId="4" fillId="0" borderId="26" xfId="1" applyNumberFormat="1" applyFont="1" applyFill="1" applyBorder="1" applyAlignment="1">
      <alignment horizontal="right" wrapText="1"/>
    </xf>
    <xf numFmtId="166" fontId="4" fillId="0" borderId="27" xfId="1" applyNumberFormat="1" applyFont="1" applyBorder="1" applyAlignment="1">
      <alignment horizontal="right" wrapText="1"/>
    </xf>
    <xf numFmtId="43" fontId="4" fillId="0" borderId="25" xfId="1" applyFont="1" applyBorder="1" applyAlignment="1">
      <alignment horizontal="right" wrapText="1"/>
    </xf>
    <xf numFmtId="43" fontId="4" fillId="0" borderId="26" xfId="1" applyFont="1" applyBorder="1" applyAlignment="1">
      <alignment horizontal="right" wrapText="1"/>
    </xf>
    <xf numFmtId="43" fontId="4" fillId="0" borderId="27" xfId="1" applyFont="1" applyBorder="1" applyAlignment="1">
      <alignment horizontal="right" wrapText="1"/>
    </xf>
    <xf numFmtId="166" fontId="4" fillId="0" borderId="26" xfId="1" applyNumberFormat="1" applyFont="1" applyBorder="1" applyAlignment="1">
      <alignment horizontal="center" wrapText="1"/>
    </xf>
    <xf numFmtId="170" fontId="4" fillId="0" borderId="25" xfId="1" applyNumberFormat="1" applyFont="1" applyBorder="1" applyAlignment="1">
      <alignment horizontal="right" wrapText="1"/>
    </xf>
    <xf numFmtId="170" fontId="4" fillId="0" borderId="26" xfId="1" applyNumberFormat="1" applyFont="1" applyBorder="1" applyAlignment="1">
      <alignment horizontal="right" wrapText="1"/>
    </xf>
    <xf numFmtId="0" fontId="4" fillId="2" borderId="12" xfId="0" applyFont="1" applyFill="1" applyBorder="1" applyAlignment="1">
      <alignment horizontal="center" wrapText="1"/>
    </xf>
    <xf numFmtId="166" fontId="4" fillId="0" borderId="12" xfId="1" applyNumberFormat="1" applyFont="1" applyBorder="1" applyAlignment="1">
      <alignment horizontal="right" wrapText="1"/>
    </xf>
    <xf numFmtId="166" fontId="4" fillId="0" borderId="12" xfId="1" applyNumberFormat="1" applyFont="1" applyFill="1" applyBorder="1" applyAlignment="1">
      <alignment horizontal="right" wrapText="1"/>
    </xf>
    <xf numFmtId="166" fontId="4" fillId="0" borderId="8" xfId="1" applyNumberFormat="1" applyFont="1" applyBorder="1" applyAlignment="1">
      <alignment horizontal="right" wrapText="1"/>
    </xf>
    <xf numFmtId="43" fontId="4" fillId="0" borderId="18" xfId="1" applyFont="1" applyBorder="1" applyAlignment="1">
      <alignment horizontal="right" wrapText="1"/>
    </xf>
    <xf numFmtId="43" fontId="4" fillId="0" borderId="12" xfId="1" applyFont="1" applyBorder="1" applyAlignment="1">
      <alignment horizontal="right" wrapText="1"/>
    </xf>
    <xf numFmtId="43" fontId="4" fillId="0" borderId="8" xfId="1" applyFont="1" applyBorder="1" applyAlignment="1">
      <alignment horizontal="right" wrapText="1"/>
    </xf>
    <xf numFmtId="166" fontId="4" fillId="0" borderId="12" xfId="1" applyNumberFormat="1" applyFont="1" applyBorder="1" applyAlignment="1">
      <alignment horizontal="center" wrapText="1"/>
    </xf>
    <xf numFmtId="170" fontId="4" fillId="0" borderId="18" xfId="1" applyNumberFormat="1" applyFont="1" applyBorder="1" applyAlignment="1">
      <alignment horizontal="right" wrapText="1"/>
    </xf>
    <xf numFmtId="170" fontId="4" fillId="0" borderId="12" xfId="1" applyNumberFormat="1" applyFont="1" applyBorder="1" applyAlignment="1">
      <alignment horizontal="right" wrapText="1"/>
    </xf>
    <xf numFmtId="0" fontId="4" fillId="2" borderId="26" xfId="0" applyFont="1" applyFill="1" applyBorder="1" applyAlignment="1">
      <alignment horizontal="center" wrapText="1"/>
    </xf>
    <xf numFmtId="166" fontId="4" fillId="0" borderId="28" xfId="1" applyNumberFormat="1" applyFont="1" applyBorder="1" applyAlignment="1">
      <alignment horizontal="right" wrapText="1"/>
    </xf>
    <xf numFmtId="3" fontId="4" fillId="0" borderId="26" xfId="1" applyNumberFormat="1" applyFont="1" applyBorder="1" applyAlignment="1">
      <alignment horizontal="right" wrapText="1"/>
    </xf>
    <xf numFmtId="3" fontId="4" fillId="0" borderId="27" xfId="1" applyNumberFormat="1" applyFont="1" applyBorder="1" applyAlignment="1">
      <alignment horizontal="right" wrapText="1"/>
    </xf>
    <xf numFmtId="0" fontId="29" fillId="3" borderId="6" xfId="0" applyFont="1" applyFill="1" applyBorder="1"/>
    <xf numFmtId="0" fontId="29" fillId="3" borderId="15" xfId="0" applyFont="1" applyFill="1" applyBorder="1"/>
    <xf numFmtId="0" fontId="29" fillId="3" borderId="19" xfId="0" applyFont="1" applyFill="1" applyBorder="1"/>
    <xf numFmtId="0" fontId="29" fillId="3" borderId="1" xfId="0" applyFont="1" applyFill="1" applyBorder="1"/>
    <xf numFmtId="0" fontId="32" fillId="0" borderId="0" xfId="0" applyFont="1" applyAlignment="1">
      <alignment vertical="top" wrapText="1"/>
    </xf>
    <xf numFmtId="179" fontId="5" fillId="0" borderId="0" xfId="3" applyNumberFormat="1" applyFont="1"/>
    <xf numFmtId="179" fontId="5" fillId="0" borderId="19" xfId="3" applyNumberFormat="1" applyFont="1" applyBorder="1"/>
    <xf numFmtId="43" fontId="4" fillId="0" borderId="0" xfId="0" applyNumberFormat="1" applyFont="1"/>
    <xf numFmtId="179" fontId="5" fillId="0" borderId="1" xfId="3" applyNumberFormat="1" applyFont="1" applyBorder="1"/>
    <xf numFmtId="0" fontId="33" fillId="0" borderId="0" xfId="0" applyFont="1" applyAlignment="1">
      <alignment horizontal="left" indent="2"/>
    </xf>
    <xf numFmtId="169" fontId="34" fillId="0" borderId="0" xfId="1" applyNumberFormat="1" applyFont="1"/>
    <xf numFmtId="179" fontId="35" fillId="0" borderId="0" xfId="3" applyNumberFormat="1" applyFont="1"/>
    <xf numFmtId="169" fontId="34" fillId="0" borderId="0" xfId="1" applyNumberFormat="1" applyFont="1" applyBorder="1"/>
    <xf numFmtId="174" fontId="35" fillId="0" borderId="0" xfId="3" applyNumberFormat="1" applyFont="1"/>
    <xf numFmtId="0" fontId="35" fillId="0" borderId="0" xfId="0" applyFont="1"/>
    <xf numFmtId="168" fontId="2" fillId="0" borderId="0" xfId="0" applyNumberFormat="1" applyFont="1"/>
    <xf numFmtId="166" fontId="2" fillId="0" borderId="0" xfId="0" applyNumberFormat="1" applyFont="1"/>
    <xf numFmtId="0" fontId="4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29" fillId="3" borderId="7" xfId="0" applyFont="1" applyFill="1" applyBorder="1"/>
    <xf numFmtId="0" fontId="23" fillId="2" borderId="8" xfId="0" applyFont="1" applyFill="1" applyBorder="1" applyAlignment="1">
      <alignment horizontal="center" wrapText="1"/>
    </xf>
    <xf numFmtId="0" fontId="23" fillId="2" borderId="20" xfId="0" applyFont="1" applyFill="1" applyBorder="1" applyAlignment="1">
      <alignment horizontal="center" wrapText="1"/>
    </xf>
    <xf numFmtId="43" fontId="4" fillId="0" borderId="4" xfId="1" applyFont="1" applyFill="1" applyBorder="1" applyAlignment="1">
      <alignment horizontal="right" wrapText="1"/>
    </xf>
    <xf numFmtId="43" fontId="4" fillId="0" borderId="3" xfId="1" applyFont="1" applyFill="1" applyBorder="1" applyAlignment="1">
      <alignment horizontal="right" wrapText="1"/>
    </xf>
    <xf numFmtId="170" fontId="4" fillId="0" borderId="4" xfId="1" applyNumberFormat="1" applyFont="1" applyFill="1" applyBorder="1" applyAlignment="1">
      <alignment horizontal="right" wrapText="1"/>
    </xf>
    <xf numFmtId="169" fontId="4" fillId="0" borderId="0" xfId="1" applyNumberFormat="1" applyFont="1" applyFill="1"/>
    <xf numFmtId="178" fontId="28" fillId="0" borderId="1" xfId="0" applyNumberFormat="1" applyFont="1" applyBorder="1" applyProtection="1">
      <protection locked="0"/>
    </xf>
    <xf numFmtId="43" fontId="4" fillId="0" borderId="19" xfId="1" applyFont="1" applyFill="1" applyBorder="1" applyAlignment="1">
      <alignment horizontal="right" wrapText="1"/>
    </xf>
    <xf numFmtId="43" fontId="4" fillId="0" borderId="1" xfId="1" applyFont="1" applyFill="1" applyBorder="1" applyAlignment="1">
      <alignment horizontal="right" wrapText="1"/>
    </xf>
    <xf numFmtId="43" fontId="4" fillId="0" borderId="20" xfId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center" wrapText="1"/>
    </xf>
    <xf numFmtId="170" fontId="4" fillId="0" borderId="19" xfId="1" applyNumberFormat="1" applyFont="1" applyFill="1" applyBorder="1" applyAlignment="1">
      <alignment horizontal="right" wrapText="1"/>
    </xf>
    <xf numFmtId="170" fontId="4" fillId="0" borderId="1" xfId="1" applyNumberFormat="1" applyFont="1" applyFill="1" applyBorder="1" applyAlignment="1">
      <alignment horizontal="right" wrapText="1"/>
    </xf>
    <xf numFmtId="166" fontId="4" fillId="0" borderId="4" xfId="1" applyNumberFormat="1" applyFont="1" applyFill="1" applyBorder="1" applyAlignment="1">
      <alignment horizontal="right" wrapText="1"/>
    </xf>
    <xf numFmtId="166" fontId="4" fillId="0" borderId="16" xfId="1" applyNumberFormat="1" applyFont="1" applyFill="1" applyBorder="1" applyAlignment="1">
      <alignment horizontal="right" wrapText="1"/>
    </xf>
    <xf numFmtId="3" fontId="4" fillId="0" borderId="3" xfId="1" applyNumberFormat="1" applyFont="1" applyFill="1" applyBorder="1" applyAlignment="1">
      <alignment horizontal="right" wrapText="1"/>
    </xf>
    <xf numFmtId="166" fontId="4" fillId="0" borderId="3" xfId="1" applyNumberFormat="1" applyFont="1" applyFill="1" applyBorder="1" applyAlignment="1">
      <alignment horizontal="right" wrapText="1"/>
    </xf>
    <xf numFmtId="166" fontId="4" fillId="0" borderId="0" xfId="0" applyNumberFormat="1" applyFont="1"/>
    <xf numFmtId="0" fontId="0" fillId="0" borderId="0" xfId="0" applyAlignment="1">
      <alignment vertical="top"/>
    </xf>
    <xf numFmtId="166" fontId="4" fillId="0" borderId="19" xfId="1" applyNumberFormat="1" applyFont="1" applyFill="1" applyBorder="1" applyAlignment="1">
      <alignment horizontal="right" wrapText="1"/>
    </xf>
    <xf numFmtId="169" fontId="35" fillId="0" borderId="0" xfId="1" applyNumberFormat="1" applyFont="1"/>
    <xf numFmtId="179" fontId="5" fillId="0" borderId="0" xfId="3" applyNumberFormat="1" applyFont="1" applyBorder="1"/>
    <xf numFmtId="174" fontId="22" fillId="0" borderId="8" xfId="3" applyNumberFormat="1" applyFont="1" applyBorder="1" applyAlignment="1">
      <alignment horizontal="center" wrapText="1"/>
    </xf>
    <xf numFmtId="166" fontId="4" fillId="0" borderId="20" xfId="1" applyNumberFormat="1" applyFont="1" applyFill="1" applyBorder="1" applyAlignment="1">
      <alignment horizontal="right" wrapText="1"/>
    </xf>
    <xf numFmtId="166" fontId="4" fillId="0" borderId="20" xfId="1" applyNumberFormat="1" applyFont="1" applyFill="1" applyBorder="1" applyAlignment="1">
      <alignment horizontal="center" wrapText="1"/>
    </xf>
    <xf numFmtId="166" fontId="4" fillId="0" borderId="8" xfId="1" applyNumberFormat="1" applyFont="1" applyFill="1" applyBorder="1" applyAlignment="1">
      <alignment horizontal="right" wrapText="1"/>
    </xf>
    <xf numFmtId="166" fontId="4" fillId="0" borderId="3" xfId="1" applyNumberFormat="1" applyFont="1" applyFill="1" applyBorder="1" applyAlignment="1">
      <alignment horizontal="center" wrapText="1"/>
    </xf>
    <xf numFmtId="178" fontId="28" fillId="0" borderId="19" xfId="0" applyNumberFormat="1" applyFont="1" applyBorder="1" applyProtection="1">
      <protection locked="0"/>
    </xf>
    <xf numFmtId="166" fontId="4" fillId="0" borderId="8" xfId="1" applyNumberFormat="1" applyFont="1" applyBorder="1" applyAlignment="1">
      <alignment horizontal="center" wrapText="1"/>
    </xf>
    <xf numFmtId="166" fontId="4" fillId="0" borderId="3" xfId="1" applyNumberFormat="1" applyFont="1" applyBorder="1" applyAlignment="1">
      <alignment horizontal="center" wrapText="1"/>
    </xf>
    <xf numFmtId="166" fontId="4" fillId="0" borderId="20" xfId="1" applyNumberFormat="1" applyFont="1" applyBorder="1" applyAlignment="1">
      <alignment horizontal="center" wrapText="1"/>
    </xf>
    <xf numFmtId="166" fontId="21" fillId="0" borderId="8" xfId="1" applyNumberFormat="1" applyFont="1" applyBorder="1" applyAlignment="1">
      <alignment horizontal="right" wrapText="1"/>
    </xf>
    <xf numFmtId="166" fontId="4" fillId="0" borderId="23" xfId="1" applyNumberFormat="1" applyFont="1" applyFill="1" applyBorder="1" applyAlignment="1">
      <alignment horizontal="right" wrapText="1"/>
    </xf>
    <xf numFmtId="3" fontId="4" fillId="0" borderId="1" xfId="1" applyNumberFormat="1" applyFont="1" applyFill="1" applyBorder="1" applyAlignment="1">
      <alignment horizontal="right" wrapText="1"/>
    </xf>
    <xf numFmtId="3" fontId="4" fillId="0" borderId="20" xfId="1" applyNumberFormat="1" applyFont="1" applyFill="1" applyBorder="1" applyAlignment="1">
      <alignment horizontal="right" wrapText="1"/>
    </xf>
    <xf numFmtId="166" fontId="4" fillId="0" borderId="11" xfId="1" applyNumberFormat="1" applyFont="1" applyFill="1" applyBorder="1" applyAlignment="1">
      <alignment horizontal="right" wrapText="1"/>
    </xf>
    <xf numFmtId="3" fontId="4" fillId="0" borderId="8" xfId="1" applyNumberFormat="1" applyFont="1" applyFill="1" applyBorder="1" applyAlignment="1">
      <alignment horizontal="right" wrapText="1"/>
    </xf>
    <xf numFmtId="165" fontId="22" fillId="0" borderId="8" xfId="1" applyNumberFormat="1" applyFont="1" applyBorder="1" applyAlignment="1">
      <alignment horizontal="center" wrapText="1"/>
    </xf>
    <xf numFmtId="174" fontId="22" fillId="0" borderId="11" xfId="3" applyNumberFormat="1" applyFont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66" fontId="5" fillId="0" borderId="3" xfId="1" applyNumberFormat="1" applyFont="1" applyBorder="1" applyAlignment="1">
      <alignment horizontal="right" wrapText="1"/>
    </xf>
    <xf numFmtId="165" fontId="5" fillId="0" borderId="4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right"/>
    </xf>
    <xf numFmtId="165" fontId="5" fillId="0" borderId="20" xfId="0" applyNumberFormat="1" applyFont="1" applyBorder="1" applyAlignment="1">
      <alignment horizontal="right"/>
    </xf>
    <xf numFmtId="166" fontId="5" fillId="0" borderId="0" xfId="1" applyNumberFormat="1" applyFont="1" applyBorder="1" applyAlignment="1">
      <alignment horizontal="right" wrapText="1"/>
    </xf>
    <xf numFmtId="166" fontId="5" fillId="0" borderId="1" xfId="1" applyNumberFormat="1" applyFont="1" applyBorder="1" applyAlignment="1">
      <alignment horizontal="right" wrapText="1"/>
    </xf>
    <xf numFmtId="166" fontId="5" fillId="0" borderId="20" xfId="1" applyNumberFormat="1" applyFont="1" applyBorder="1" applyAlignment="1">
      <alignment horizontal="right" wrapText="1"/>
    </xf>
    <xf numFmtId="166" fontId="5" fillId="0" borderId="8" xfId="1" applyNumberFormat="1" applyFont="1" applyBorder="1" applyAlignment="1">
      <alignment horizontal="right" wrapText="1"/>
    </xf>
    <xf numFmtId="0" fontId="37" fillId="0" borderId="0" xfId="0" applyFont="1"/>
    <xf numFmtId="0" fontId="38" fillId="6" borderId="0" xfId="0" applyFont="1" applyFill="1"/>
    <xf numFmtId="0" fontId="39" fillId="6" borderId="0" xfId="0" applyFont="1" applyFill="1"/>
    <xf numFmtId="0" fontId="40" fillId="6" borderId="0" xfId="0" applyFont="1" applyFill="1"/>
    <xf numFmtId="0" fontId="10" fillId="0" borderId="0" xfId="0" applyFont="1"/>
    <xf numFmtId="0" fontId="23" fillId="6" borderId="0" xfId="0" applyFont="1" applyFill="1"/>
    <xf numFmtId="0" fontId="39" fillId="5" borderId="0" xfId="0" applyFont="1" applyFill="1"/>
    <xf numFmtId="0" fontId="23" fillId="5" borderId="0" xfId="0" applyFont="1" applyFill="1"/>
    <xf numFmtId="0" fontId="36" fillId="5" borderId="0" xfId="0" applyFont="1" applyFill="1"/>
    <xf numFmtId="166" fontId="22" fillId="0" borderId="26" xfId="1" applyNumberFormat="1" applyFont="1" applyBorder="1" applyAlignment="1">
      <alignment horizontal="right" wrapText="1"/>
    </xf>
    <xf numFmtId="166" fontId="22" fillId="0" borderId="27" xfId="1" applyNumberFormat="1" applyFont="1" applyBorder="1" applyAlignment="1">
      <alignment horizontal="right" wrapText="1"/>
    </xf>
    <xf numFmtId="165" fontId="22" fillId="0" borderId="25" xfId="0" applyNumberFormat="1" applyFont="1" applyBorder="1"/>
    <xf numFmtId="165" fontId="22" fillId="0" borderId="26" xfId="0" applyNumberFormat="1" applyFont="1" applyBorder="1"/>
    <xf numFmtId="174" fontId="22" fillId="0" borderId="21" xfId="3" applyNumberFormat="1" applyFont="1" applyBorder="1" applyAlignment="1">
      <alignment horizontal="center" wrapText="1"/>
    </xf>
    <xf numFmtId="165" fontId="22" fillId="0" borderId="9" xfId="1" applyNumberFormat="1" applyFont="1" applyBorder="1" applyAlignment="1">
      <alignment horizontal="center" wrapText="1"/>
    </xf>
    <xf numFmtId="179" fontId="5" fillId="0" borderId="25" xfId="3" applyNumberFormat="1" applyFont="1" applyBorder="1"/>
    <xf numFmtId="165" fontId="22" fillId="0" borderId="14" xfId="1" applyNumberFormat="1" applyFont="1" applyBorder="1" applyAlignment="1">
      <alignment horizontal="center" wrapText="1"/>
    </xf>
    <xf numFmtId="174" fontId="22" fillId="0" borderId="17" xfId="3" applyNumberFormat="1" applyFont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20" xfId="0" applyFont="1" applyFill="1" applyBorder="1" applyAlignment="1">
      <alignment horizontal="center" wrapText="1"/>
    </xf>
    <xf numFmtId="0" fontId="0" fillId="0" borderId="15" xfId="0" applyBorder="1"/>
    <xf numFmtId="0" fontId="7" fillId="0" borderId="0" xfId="0" applyFont="1" applyAlignment="1">
      <alignment vertical="top"/>
    </xf>
    <xf numFmtId="0" fontId="3" fillId="0" borderId="1" xfId="0" applyFont="1" applyBorder="1"/>
    <xf numFmtId="166" fontId="22" fillId="0" borderId="21" xfId="1" applyNumberFormat="1" applyFont="1" applyBorder="1" applyAlignment="1">
      <alignment horizontal="right" wrapText="1"/>
    </xf>
    <xf numFmtId="0" fontId="2" fillId="0" borderId="1" xfId="0" applyFont="1" applyBorder="1"/>
    <xf numFmtId="169" fontId="2" fillId="0" borderId="0" xfId="1" applyNumberFormat="1" applyFont="1" applyFill="1"/>
    <xf numFmtId="169" fontId="2" fillId="0" borderId="0" xfId="1" applyNumberFormat="1" applyFont="1"/>
    <xf numFmtId="169" fontId="2" fillId="0" borderId="1" xfId="1" applyNumberFormat="1" applyFont="1" applyBorder="1"/>
    <xf numFmtId="169" fontId="2" fillId="0" borderId="0" xfId="1" applyNumberFormat="1" applyFont="1" applyBorder="1"/>
    <xf numFmtId="169" fontId="2" fillId="0" borderId="2" xfId="1" applyNumberFormat="1" applyFont="1" applyBorder="1"/>
    <xf numFmtId="166" fontId="0" fillId="0" borderId="0" xfId="0" applyNumberFormat="1"/>
    <xf numFmtId="179" fontId="5" fillId="0" borderId="16" xfId="3" applyNumberFormat="1" applyFont="1" applyBorder="1"/>
    <xf numFmtId="179" fontId="5" fillId="0" borderId="23" xfId="3" applyNumberFormat="1" applyFont="1" applyBorder="1"/>
    <xf numFmtId="179" fontId="5" fillId="0" borderId="28" xfId="3" applyNumberFormat="1" applyFont="1" applyBorder="1"/>
    <xf numFmtId="9" fontId="22" fillId="0" borderId="16" xfId="3" applyFont="1" applyFill="1" applyBorder="1" applyAlignment="1">
      <alignment horizontal="center" wrapText="1"/>
    </xf>
    <xf numFmtId="9" fontId="22" fillId="0" borderId="16" xfId="3" applyFont="1" applyBorder="1" applyAlignment="1">
      <alignment horizontal="center" wrapText="1"/>
    </xf>
    <xf numFmtId="9" fontId="22" fillId="0" borderId="23" xfId="3" applyFont="1" applyBorder="1" applyAlignment="1">
      <alignment horizontal="center" wrapText="1"/>
    </xf>
    <xf numFmtId="9" fontId="22" fillId="0" borderId="28" xfId="3" applyFont="1" applyBorder="1" applyAlignment="1">
      <alignment horizontal="center" wrapText="1"/>
    </xf>
    <xf numFmtId="9" fontId="5" fillId="0" borderId="11" xfId="3" applyFont="1" applyFill="1" applyBorder="1" applyAlignment="1">
      <alignment horizontal="center" wrapText="1"/>
    </xf>
    <xf numFmtId="9" fontId="5" fillId="0" borderId="16" xfId="3" applyFont="1" applyFill="1" applyBorder="1" applyAlignment="1">
      <alignment horizontal="center" wrapText="1"/>
    </xf>
    <xf numFmtId="9" fontId="5" fillId="0" borderId="23" xfId="3" applyFont="1" applyFill="1" applyBorder="1" applyAlignment="1">
      <alignment horizontal="center" wrapText="1"/>
    </xf>
    <xf numFmtId="0" fontId="32" fillId="0" borderId="0" xfId="0" applyFont="1" applyAlignment="1">
      <alignment vertical="top"/>
    </xf>
    <xf numFmtId="43" fontId="0" fillId="0" borderId="0" xfId="0" applyNumberFormat="1"/>
    <xf numFmtId="0" fontId="2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2" borderId="8" xfId="0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wrapText="1"/>
    </xf>
    <xf numFmtId="0" fontId="41" fillId="0" borderId="0" xfId="0" applyFont="1" applyAlignment="1">
      <alignment vertical="top"/>
    </xf>
    <xf numFmtId="43" fontId="0" fillId="0" borderId="0" xfId="1" applyFont="1" applyBorder="1"/>
    <xf numFmtId="169" fontId="0" fillId="0" borderId="0" xfId="1" applyNumberFormat="1" applyFont="1" applyBorder="1"/>
    <xf numFmtId="169" fontId="0" fillId="0" borderId="0" xfId="0" applyNumberFormat="1"/>
    <xf numFmtId="9" fontId="0" fillId="0" borderId="0" xfId="3" applyFont="1" applyBorder="1"/>
    <xf numFmtId="174" fontId="0" fillId="0" borderId="0" xfId="3" applyNumberFormat="1" applyFont="1" applyBorder="1"/>
    <xf numFmtId="0" fontId="6" fillId="0" borderId="0" xfId="0" applyFont="1"/>
    <xf numFmtId="0" fontId="2" fillId="2" borderId="20" xfId="0" applyFont="1" applyFill="1" applyBorder="1" applyAlignment="1">
      <alignment horizontal="center" wrapText="1"/>
    </xf>
    <xf numFmtId="9" fontId="0" fillId="0" borderId="0" xfId="3" applyFont="1" applyBorder="1" applyAlignment="1"/>
    <xf numFmtId="0" fontId="18" fillId="0" borderId="1" xfId="0" applyFont="1" applyBorder="1"/>
    <xf numFmtId="0" fontId="2" fillId="0" borderId="0" xfId="0" applyFont="1" applyAlignment="1">
      <alignment horizontal="right"/>
    </xf>
    <xf numFmtId="166" fontId="5" fillId="0" borderId="14" xfId="1" applyNumberFormat="1" applyFont="1" applyBorder="1" applyAlignment="1"/>
    <xf numFmtId="0" fontId="43" fillId="3" borderId="18" xfId="0" applyFont="1" applyFill="1" applyBorder="1"/>
    <xf numFmtId="0" fontId="44" fillId="3" borderId="12" xfId="0" applyFont="1" applyFill="1" applyBorder="1"/>
    <xf numFmtId="0" fontId="2" fillId="3" borderId="8" xfId="0" applyFont="1" applyFill="1" applyBorder="1"/>
    <xf numFmtId="0" fontId="45" fillId="3" borderId="19" xfId="0" applyFont="1" applyFill="1" applyBorder="1"/>
    <xf numFmtId="0" fontId="44" fillId="3" borderId="1" xfId="0" applyFont="1" applyFill="1" applyBorder="1"/>
    <xf numFmtId="0" fontId="2" fillId="3" borderId="20" xfId="0" applyFont="1" applyFill="1" applyBorder="1"/>
    <xf numFmtId="0" fontId="43" fillId="3" borderId="0" xfId="0" applyFont="1" applyFill="1"/>
    <xf numFmtId="0" fontId="44" fillId="3" borderId="0" xfId="0" applyFont="1" applyFill="1"/>
    <xf numFmtId="0" fontId="45" fillId="3" borderId="0" xfId="0" applyFont="1" applyFill="1"/>
    <xf numFmtId="0" fontId="47" fillId="3" borderId="0" xfId="0" applyFont="1" applyFill="1"/>
    <xf numFmtId="172" fontId="2" fillId="3" borderId="0" xfId="0" applyNumberFormat="1" applyFont="1" applyFill="1"/>
    <xf numFmtId="0" fontId="48" fillId="3" borderId="0" xfId="0" applyFont="1" applyFill="1"/>
    <xf numFmtId="0" fontId="46" fillId="3" borderId="0" xfId="0" applyFont="1" applyFill="1"/>
    <xf numFmtId="0" fontId="49" fillId="3" borderId="0" xfId="0" applyFont="1" applyFill="1"/>
    <xf numFmtId="0" fontId="50" fillId="3" borderId="0" xfId="0" applyFont="1" applyFill="1"/>
    <xf numFmtId="0" fontId="2" fillId="0" borderId="1" xfId="0" applyFont="1" applyBorder="1" applyAlignment="1">
      <alignment horizontal="right"/>
    </xf>
    <xf numFmtId="0" fontId="54" fillId="0" borderId="0" xfId="4" applyFont="1"/>
    <xf numFmtId="0" fontId="55" fillId="0" borderId="0" xfId="4" applyFont="1"/>
    <xf numFmtId="0" fontId="1" fillId="0" borderId="0" xfId="4"/>
    <xf numFmtId="164" fontId="55" fillId="0" borderId="0" xfId="5" applyNumberFormat="1" applyFont="1"/>
    <xf numFmtId="0" fontId="56" fillId="0" borderId="0" xfId="4" applyFont="1"/>
    <xf numFmtId="169" fontId="55" fillId="0" borderId="0" xfId="6" applyNumberFormat="1" applyFont="1"/>
    <xf numFmtId="44" fontId="56" fillId="0" borderId="0" xfId="5" applyFont="1"/>
    <xf numFmtId="0" fontId="57" fillId="0" borderId="0" xfId="4" applyFont="1" applyAlignment="1">
      <alignment vertical="top" wrapText="1"/>
    </xf>
    <xf numFmtId="0" fontId="57" fillId="0" borderId="0" xfId="4" applyFont="1" applyAlignment="1">
      <alignment vertical="top"/>
    </xf>
    <xf numFmtId="44" fontId="55" fillId="0" borderId="0" xfId="5" applyFont="1"/>
    <xf numFmtId="0" fontId="55" fillId="7" borderId="0" xfId="4" applyFont="1" applyFill="1"/>
    <xf numFmtId="0" fontId="1" fillId="7" borderId="0" xfId="4" applyFill="1"/>
    <xf numFmtId="0" fontId="3" fillId="0" borderId="15" xfId="0" applyFont="1" applyBorder="1"/>
    <xf numFmtId="43" fontId="0" fillId="0" borderId="3" xfId="1" applyFont="1" applyBorder="1" applyAlignment="1">
      <alignment horizontal="right" wrapText="1"/>
    </xf>
    <xf numFmtId="166" fontId="0" fillId="0" borderId="3" xfId="1" applyNumberFormat="1" applyFont="1" applyBorder="1" applyAlignment="1">
      <alignment horizontal="right" wrapText="1"/>
    </xf>
    <xf numFmtId="166" fontId="0" fillId="0" borderId="3" xfId="1" applyNumberFormat="1" applyFont="1" applyBorder="1" applyAlignment="1">
      <alignment horizontal="center" wrapText="1"/>
    </xf>
    <xf numFmtId="166" fontId="0" fillId="0" borderId="16" xfId="1" applyNumberFormat="1" applyFont="1" applyBorder="1" applyAlignment="1">
      <alignment horizontal="right" wrapText="1"/>
    </xf>
    <xf numFmtId="3" fontId="0" fillId="0" borderId="3" xfId="1" applyNumberFormat="1" applyFont="1" applyBorder="1" applyAlignment="1">
      <alignment horizontal="right" wrapText="1"/>
    </xf>
    <xf numFmtId="165" fontId="5" fillId="0" borderId="3" xfId="1" applyNumberFormat="1" applyFont="1" applyBorder="1" applyAlignment="1">
      <alignment horizontal="center" wrapText="1"/>
    </xf>
    <xf numFmtId="174" fontId="5" fillId="0" borderId="3" xfId="3" applyNumberFormat="1" applyFont="1" applyBorder="1" applyAlignment="1">
      <alignment horizontal="center" wrapText="1"/>
    </xf>
    <xf numFmtId="9" fontId="5" fillId="0" borderId="16" xfId="3" applyFont="1" applyBorder="1" applyAlignment="1">
      <alignment horizontal="center" wrapText="1"/>
    </xf>
    <xf numFmtId="174" fontId="5" fillId="0" borderId="16" xfId="3" applyNumberFormat="1" applyFont="1" applyBorder="1" applyAlignment="1">
      <alignment horizontal="center" wrapText="1"/>
    </xf>
    <xf numFmtId="174" fontId="11" fillId="0" borderId="0" xfId="3" applyNumberFormat="1" applyFont="1"/>
    <xf numFmtId="0" fontId="54" fillId="0" borderId="1" xfId="4" quotePrefix="1" applyFont="1" applyBorder="1" applyAlignment="1">
      <alignment horizontal="center"/>
    </xf>
    <xf numFmtId="0" fontId="54" fillId="7" borderId="1" xfId="4" quotePrefix="1" applyFont="1" applyFill="1" applyBorder="1" applyAlignment="1">
      <alignment horizontal="center"/>
    </xf>
    <xf numFmtId="0" fontId="54" fillId="0" borderId="1" xfId="4" applyFont="1" applyBorder="1"/>
    <xf numFmtId="0" fontId="59" fillId="0" borderId="0" xfId="4" applyFont="1"/>
    <xf numFmtId="164" fontId="59" fillId="0" borderId="0" xfId="5" applyNumberFormat="1" applyFont="1"/>
    <xf numFmtId="180" fontId="59" fillId="0" borderId="0" xfId="5" applyNumberFormat="1" applyFont="1"/>
    <xf numFmtId="180" fontId="59" fillId="0" borderId="0" xfId="5" applyNumberFormat="1" applyFont="1" applyAlignment="1">
      <alignment horizontal="right"/>
    </xf>
    <xf numFmtId="41" fontId="59" fillId="0" borderId="0" xfId="5" applyNumberFormat="1" applyFont="1"/>
    <xf numFmtId="41" fontId="59" fillId="0" borderId="0" xfId="5" applyNumberFormat="1" applyFont="1" applyAlignment="1">
      <alignment horizontal="right"/>
    </xf>
    <xf numFmtId="41" fontId="59" fillId="0" borderId="0" xfId="6" applyNumberFormat="1" applyFont="1"/>
    <xf numFmtId="169" fontId="54" fillId="0" borderId="12" xfId="6" applyNumberFormat="1" applyFont="1" applyBorder="1"/>
    <xf numFmtId="169" fontId="59" fillId="0" borderId="0" xfId="6" applyNumberFormat="1" applyFont="1"/>
    <xf numFmtId="169" fontId="59" fillId="0" borderId="1" xfId="6" applyNumberFormat="1" applyFont="1" applyBorder="1"/>
    <xf numFmtId="164" fontId="54" fillId="0" borderId="26" xfId="5" applyNumberFormat="1" applyFont="1" applyBorder="1"/>
    <xf numFmtId="166" fontId="59" fillId="0" borderId="0" xfId="6" applyNumberFormat="1" applyFont="1"/>
    <xf numFmtId="44" fontId="54" fillId="0" borderId="0" xfId="5" applyFont="1"/>
    <xf numFmtId="0" fontId="60" fillId="0" borderId="0" xfId="4" applyFont="1" applyAlignment="1">
      <alignment vertical="top" wrapText="1"/>
    </xf>
    <xf numFmtId="0" fontId="60" fillId="0" borderId="0" xfId="4" applyFont="1" applyAlignment="1">
      <alignment vertical="top"/>
    </xf>
    <xf numFmtId="0" fontId="62" fillId="0" borderId="0" xfId="4" applyFont="1"/>
    <xf numFmtId="0" fontId="62" fillId="7" borderId="0" xfId="4" applyFont="1" applyFill="1"/>
    <xf numFmtId="0" fontId="62" fillId="0" borderId="0" xfId="4" applyFont="1" applyAlignment="1">
      <alignment horizontal="left" indent="1"/>
    </xf>
    <xf numFmtId="0" fontId="65" fillId="3" borderId="0" xfId="0" applyFont="1" applyFill="1"/>
    <xf numFmtId="166" fontId="2" fillId="0" borderId="0" xfId="1" applyNumberFormat="1" applyFont="1" applyBorder="1" applyAlignment="1">
      <alignment horizontal="right" wrapText="1"/>
    </xf>
    <xf numFmtId="166" fontId="2" fillId="0" borderId="0" xfId="1" applyNumberFormat="1" applyFont="1" applyFill="1" applyBorder="1" applyAlignment="1">
      <alignment horizontal="right" wrapText="1"/>
    </xf>
    <xf numFmtId="43" fontId="2" fillId="0" borderId="0" xfId="1" applyFont="1" applyFill="1" applyBorder="1" applyAlignment="1">
      <alignment horizontal="right" wrapText="1"/>
    </xf>
    <xf numFmtId="170" fontId="2" fillId="0" borderId="0" xfId="1" applyNumberFormat="1" applyFont="1" applyBorder="1" applyAlignment="1">
      <alignment horizontal="right" wrapText="1"/>
    </xf>
    <xf numFmtId="170" fontId="2" fillId="0" borderId="0" xfId="1" applyNumberFormat="1" applyFont="1" applyFill="1" applyBorder="1" applyAlignment="1">
      <alignment horizontal="right" wrapText="1"/>
    </xf>
    <xf numFmtId="166" fontId="0" fillId="0" borderId="3" xfId="1" applyNumberFormat="1" applyFont="1" applyFill="1" applyBorder="1" applyAlignment="1">
      <alignment horizontal="right" wrapText="1"/>
    </xf>
    <xf numFmtId="0" fontId="2" fillId="2" borderId="3" xfId="0" quotePrefix="1" applyFont="1" applyFill="1" applyBorder="1" applyAlignment="1">
      <alignment horizontal="center" wrapText="1"/>
    </xf>
    <xf numFmtId="3" fontId="2" fillId="0" borderId="0" xfId="1" applyNumberFormat="1" applyFont="1" applyFill="1" applyBorder="1" applyAlignment="1">
      <alignment horizontal="right" wrapText="1"/>
    </xf>
    <xf numFmtId="3" fontId="3" fillId="0" borderId="0" xfId="0" applyNumberFormat="1" applyFont="1" applyAlignment="1">
      <alignment horizontal="left" indent="1"/>
    </xf>
    <xf numFmtId="174" fontId="11" fillId="0" borderId="0" xfId="3" applyNumberFormat="1" applyFont="1" applyFill="1" applyBorder="1"/>
    <xf numFmtId="169" fontId="35" fillId="0" borderId="0" xfId="1" applyNumberFormat="1" applyFont="1" applyFill="1"/>
    <xf numFmtId="1" fontId="3" fillId="0" borderId="0" xfId="0" applyNumberFormat="1" applyFont="1"/>
    <xf numFmtId="1" fontId="3" fillId="0" borderId="1" xfId="0" applyNumberFormat="1" applyFont="1" applyBorder="1"/>
    <xf numFmtId="169" fontId="2" fillId="0" borderId="0" xfId="1" applyNumberFormat="1" applyFont="1" applyFill="1" applyBorder="1"/>
    <xf numFmtId="169" fontId="2" fillId="0" borderId="2" xfId="1" applyNumberFormat="1" applyFont="1" applyFill="1" applyBorder="1"/>
    <xf numFmtId="0" fontId="62" fillId="0" borderId="0" xfId="0" applyFont="1"/>
    <xf numFmtId="0" fontId="59" fillId="0" borderId="0" xfId="0" applyFont="1"/>
    <xf numFmtId="164" fontId="59" fillId="0" borderId="0" xfId="5" applyNumberFormat="1" applyFont="1" applyFill="1"/>
    <xf numFmtId="41" fontId="59" fillId="0" borderId="0" xfId="5" applyNumberFormat="1" applyFont="1" applyFill="1"/>
    <xf numFmtId="41" fontId="59" fillId="0" borderId="0" xfId="6" applyNumberFormat="1" applyFont="1" applyFill="1" applyBorder="1"/>
    <xf numFmtId="41" fontId="59" fillId="0" borderId="1" xfId="6" applyNumberFormat="1" applyFont="1" applyFill="1" applyBorder="1"/>
    <xf numFmtId="41" fontId="54" fillId="0" borderId="0" xfId="6" applyNumberFormat="1" applyFont="1"/>
    <xf numFmtId="41" fontId="59" fillId="0" borderId="0" xfId="6" applyNumberFormat="1" applyFont="1" applyFill="1"/>
    <xf numFmtId="164" fontId="54" fillId="0" borderId="26" xfId="5" applyNumberFormat="1" applyFont="1" applyFill="1" applyBorder="1"/>
    <xf numFmtId="166" fontId="59" fillId="0" borderId="0" xfId="6" applyNumberFormat="1" applyFont="1" applyAlignment="1">
      <alignment horizontal="right"/>
    </xf>
    <xf numFmtId="0" fontId="2" fillId="0" borderId="15" xfId="0" applyFont="1" applyBorder="1"/>
    <xf numFmtId="166" fontId="2" fillId="0" borderId="3" xfId="1" applyNumberFormat="1" applyFont="1" applyBorder="1" applyAlignment="1">
      <alignment horizontal="right" wrapText="1"/>
    </xf>
    <xf numFmtId="166" fontId="2" fillId="0" borderId="3" xfId="1" applyNumberFormat="1" applyFont="1" applyFill="1" applyBorder="1" applyAlignment="1">
      <alignment horizontal="right" wrapText="1"/>
    </xf>
    <xf numFmtId="43" fontId="2" fillId="0" borderId="0" xfId="1" applyFont="1" applyBorder="1" applyAlignment="1">
      <alignment horizontal="right" wrapText="1"/>
    </xf>
    <xf numFmtId="43" fontId="2" fillId="0" borderId="3" xfId="1" applyFont="1" applyBorder="1" applyAlignment="1">
      <alignment horizontal="right" wrapText="1"/>
    </xf>
    <xf numFmtId="166" fontId="2" fillId="0" borderId="3" xfId="1" applyNumberFormat="1" applyFont="1" applyBorder="1" applyAlignment="1">
      <alignment horizontal="center" wrapText="1"/>
    </xf>
    <xf numFmtId="165" fontId="5" fillId="0" borderId="0" xfId="0" applyNumberFormat="1" applyFont="1"/>
    <xf numFmtId="0" fontId="54" fillId="0" borderId="0" xfId="0" applyFont="1"/>
    <xf numFmtId="0" fontId="55" fillId="0" borderId="0" xfId="0" applyFont="1"/>
    <xf numFmtId="0" fontId="54" fillId="0" borderId="1" xfId="0" applyFont="1" applyBorder="1"/>
    <xf numFmtId="164" fontId="59" fillId="0" borderId="0" xfId="5" applyNumberFormat="1" applyFont="1" applyAlignment="1"/>
    <xf numFmtId="41" fontId="59" fillId="0" borderId="0" xfId="6" applyNumberFormat="1" applyFont="1" applyBorder="1"/>
    <xf numFmtId="41" fontId="59" fillId="0" borderId="1" xfId="6" applyNumberFormat="1" applyFont="1" applyBorder="1"/>
    <xf numFmtId="0" fontId="56" fillId="0" borderId="0" xfId="0" applyFont="1"/>
    <xf numFmtId="0" fontId="3" fillId="2" borderId="8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shrinkToFit="1"/>
    </xf>
    <xf numFmtId="0" fontId="3" fillId="2" borderId="15" xfId="0" applyFont="1" applyFill="1" applyBorder="1" applyAlignment="1">
      <alignment horizontal="center" shrinkToFit="1"/>
    </xf>
    <xf numFmtId="0" fontId="3" fillId="2" borderId="1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shrinkToFit="1"/>
    </xf>
    <xf numFmtId="0" fontId="7" fillId="0" borderId="0" xfId="0" applyFont="1" applyAlignment="1">
      <alignment horizontal="left" wrapText="1"/>
    </xf>
    <xf numFmtId="0" fontId="3" fillId="2" borderId="6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9" fontId="0" fillId="0" borderId="29" xfId="1" applyNumberFormat="1" applyFont="1" applyBorder="1" applyAlignment="1">
      <alignment horizontal="center"/>
    </xf>
    <xf numFmtId="169" fontId="0" fillId="0" borderId="30" xfId="1" applyNumberFormat="1" applyFont="1" applyBorder="1" applyAlignment="1">
      <alignment horizontal="center"/>
    </xf>
    <xf numFmtId="169" fontId="0" fillId="0" borderId="31" xfId="1" applyNumberFormat="1" applyFont="1" applyBorder="1" applyAlignment="1">
      <alignment horizontal="center"/>
    </xf>
    <xf numFmtId="169" fontId="4" fillId="0" borderId="22" xfId="1" applyNumberFormat="1" applyFont="1" applyBorder="1" applyAlignment="1">
      <alignment horizontal="center" vertical="center" wrapText="1"/>
    </xf>
    <xf numFmtId="169" fontId="4" fillId="0" borderId="3" xfId="1" applyNumberFormat="1" applyFont="1" applyBorder="1" applyAlignment="1">
      <alignment horizontal="center" vertical="center" wrapText="1"/>
    </xf>
    <xf numFmtId="169" fontId="4" fillId="0" borderId="20" xfId="1" applyNumberFormat="1" applyFont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left" vertical="center"/>
    </xf>
    <xf numFmtId="0" fontId="29" fillId="3" borderId="12" xfId="0" applyFont="1" applyFill="1" applyBorder="1" applyAlignment="1">
      <alignment horizontal="left" vertical="center"/>
    </xf>
    <xf numFmtId="0" fontId="29" fillId="3" borderId="8" xfId="0" applyFont="1" applyFill="1" applyBorder="1" applyAlignment="1">
      <alignment horizontal="left" vertical="center"/>
    </xf>
    <xf numFmtId="0" fontId="29" fillId="3" borderId="19" xfId="0" applyFont="1" applyFill="1" applyBorder="1" applyAlignment="1">
      <alignment horizontal="left" vertical="center"/>
    </xf>
    <xf numFmtId="0" fontId="29" fillId="3" borderId="1" xfId="0" applyFont="1" applyFill="1" applyBorder="1" applyAlignment="1">
      <alignment horizontal="left" vertical="center"/>
    </xf>
    <xf numFmtId="0" fontId="29" fillId="3" borderId="20" xfId="0" applyFont="1" applyFill="1" applyBorder="1" applyAlignment="1">
      <alignment horizontal="left" vertical="center"/>
    </xf>
    <xf numFmtId="0" fontId="0" fillId="0" borderId="12" xfId="0" applyBorder="1"/>
    <xf numFmtId="0" fontId="0" fillId="0" borderId="8" xfId="0" applyBorder="1"/>
    <xf numFmtId="0" fontId="0" fillId="0" borderId="19" xfId="0" applyBorder="1"/>
    <xf numFmtId="0" fontId="0" fillId="0" borderId="1" xfId="0" applyBorder="1"/>
    <xf numFmtId="0" fontId="0" fillId="0" borderId="20" xfId="0" applyBorder="1"/>
    <xf numFmtId="0" fontId="3" fillId="0" borderId="0" xfId="0" applyFont="1" applyAlignment="1">
      <alignment horizontal="left" vertical="top" wrapText="1"/>
    </xf>
    <xf numFmtId="0" fontId="21" fillId="0" borderId="6" xfId="1" applyNumberFormat="1" applyFont="1" applyBorder="1" applyAlignment="1">
      <alignment horizontal="center" wrapText="1"/>
    </xf>
    <xf numFmtId="0" fontId="21" fillId="0" borderId="7" xfId="1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169" fontId="2" fillId="0" borderId="29" xfId="1" applyNumberFormat="1" applyFont="1" applyBorder="1" applyAlignment="1">
      <alignment horizontal="center" wrapText="1"/>
    </xf>
    <xf numFmtId="169" fontId="2" fillId="0" borderId="31" xfId="1" applyNumberFormat="1" applyFont="1" applyBorder="1" applyAlignment="1">
      <alignment horizontal="center" wrapText="1"/>
    </xf>
    <xf numFmtId="169" fontId="4" fillId="0" borderId="29" xfId="1" applyNumberFormat="1" applyFont="1" applyBorder="1" applyAlignment="1">
      <alignment horizontal="center" wrapText="1"/>
    </xf>
    <xf numFmtId="169" fontId="4" fillId="0" borderId="31" xfId="1" applyNumberFormat="1" applyFont="1" applyBorder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5" fillId="2" borderId="16" xfId="0" applyFont="1" applyFill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32" xfId="0" applyFont="1" applyBorder="1" applyAlignment="1">
      <alignment horizontal="center" wrapText="1"/>
    </xf>
    <xf numFmtId="0" fontId="15" fillId="2" borderId="12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wrapText="1"/>
    </xf>
    <xf numFmtId="0" fontId="15" fillId="2" borderId="24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horizontal="left" wrapText="1"/>
    </xf>
    <xf numFmtId="0" fontId="3" fillId="4" borderId="11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4" borderId="23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7">
    <cellStyle name="Comma" xfId="1" builtinId="3"/>
    <cellStyle name="Comma 2" xfId="6" xr:uid="{16B66DEE-07F4-4457-8D13-244B00179E67}"/>
    <cellStyle name="Currency" xfId="2" builtinId="4"/>
    <cellStyle name="Currency 2" xfId="5" xr:uid="{D58F907A-4CF8-49AB-9F6B-252E08299E88}"/>
    <cellStyle name="Normal" xfId="0" builtinId="0"/>
    <cellStyle name="Normal 2" xfId="4" xr:uid="{FDCF88AA-6D32-475D-8BFE-A38D87C19DE1}"/>
    <cellStyle name="Percent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57150</xdr:colOff>
      <xdr:row>4</xdr:row>
      <xdr:rowOff>0</xdr:rowOff>
    </xdr:from>
    <xdr:to>
      <xdr:col>22</xdr:col>
      <xdr:colOff>57150</xdr:colOff>
      <xdr:row>4</xdr:row>
      <xdr:rowOff>0</xdr:rowOff>
    </xdr:to>
    <xdr:sp macro="" textlink="">
      <xdr:nvSpPr>
        <xdr:cNvPr id="5204" name="Line 3">
          <a:extLst>
            <a:ext uri="{FF2B5EF4-FFF2-40B4-BE49-F238E27FC236}">
              <a16:creationId xmlns:a16="http://schemas.microsoft.com/office/drawing/2014/main" id="{00000000-0008-0000-0600-000054140000}"/>
            </a:ext>
          </a:extLst>
        </xdr:cNvPr>
        <xdr:cNvSpPr>
          <a:spLocks noChangeShapeType="1"/>
        </xdr:cNvSpPr>
      </xdr:nvSpPr>
      <xdr:spPr bwMode="auto">
        <a:xfrm>
          <a:off x="4686300" y="838200"/>
          <a:ext cx="0" cy="0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22</xdr:col>
      <xdr:colOff>133350</xdr:colOff>
      <xdr:row>7</xdr:row>
      <xdr:rowOff>161925</xdr:rowOff>
    </xdr:from>
    <xdr:to>
      <xdr:col>22</xdr:col>
      <xdr:colOff>133350</xdr:colOff>
      <xdr:row>31</xdr:row>
      <xdr:rowOff>142875</xdr:rowOff>
    </xdr:to>
    <xdr:sp macro="" textlink="">
      <xdr:nvSpPr>
        <xdr:cNvPr id="5205" name="Line 4">
          <a:extLst>
            <a:ext uri="{FF2B5EF4-FFF2-40B4-BE49-F238E27FC236}">
              <a16:creationId xmlns:a16="http://schemas.microsoft.com/office/drawing/2014/main" id="{00000000-0008-0000-0600-000055140000}"/>
            </a:ext>
          </a:extLst>
        </xdr:cNvPr>
        <xdr:cNvSpPr>
          <a:spLocks noChangeShapeType="1"/>
        </xdr:cNvSpPr>
      </xdr:nvSpPr>
      <xdr:spPr bwMode="auto">
        <a:xfrm>
          <a:off x="4762500" y="1485900"/>
          <a:ext cx="0" cy="4095750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8"/>
  <sheetViews>
    <sheetView tabSelected="1" workbookViewId="0">
      <pane xSplit="1" ySplit="8" topLeftCell="B26" activePane="bottomRight" state="frozen"/>
      <selection activeCell="D44" sqref="D44"/>
      <selection pane="topRight" activeCell="D44" sqref="D44"/>
      <selection pane="bottomLeft" activeCell="D44" sqref="D44"/>
      <selection pane="bottomRight" activeCell="G30" sqref="G30"/>
    </sheetView>
  </sheetViews>
  <sheetFormatPr defaultRowHeight="12.5" outlineLevelCol="1" x14ac:dyDescent="0.25"/>
  <cols>
    <col min="1" max="1" width="9.453125" bestFit="1" customWidth="1"/>
    <col min="2" max="2" width="9.7265625" bestFit="1" customWidth="1"/>
    <col min="3" max="3" width="8.54296875" customWidth="1"/>
    <col min="4" max="6" width="9.81640625" hidden="1" customWidth="1" outlineLevel="1"/>
    <col min="7" max="7" width="7.7265625" bestFit="1" customWidth="1" collapsed="1"/>
    <col min="8" max="8" width="10" customWidth="1"/>
    <col min="9" max="9" width="9.7265625" customWidth="1"/>
    <col min="10" max="10" width="8.1796875" customWidth="1"/>
    <col min="11" max="11" width="7.7265625" bestFit="1" customWidth="1"/>
    <col min="12" max="12" width="6.81640625" customWidth="1"/>
    <col min="13" max="13" width="12.26953125" customWidth="1"/>
    <col min="14" max="14" width="7.453125" customWidth="1"/>
    <col min="15" max="15" width="7.7265625" bestFit="1" customWidth="1"/>
    <col min="16" max="16" width="7.26953125" bestFit="1" customWidth="1"/>
    <col min="17" max="17" width="7.453125" customWidth="1"/>
    <col min="18" max="18" width="10" bestFit="1" customWidth="1"/>
    <col min="19" max="19" width="8.7265625" customWidth="1"/>
    <col min="20" max="20" width="9.81640625" customWidth="1"/>
    <col min="21" max="21" width="8" customWidth="1"/>
    <col min="22" max="22" width="7.7265625" bestFit="1" customWidth="1"/>
    <col min="23" max="23" width="8" customWidth="1"/>
    <col min="24" max="24" width="10" bestFit="1" customWidth="1"/>
    <col min="25" max="25" width="8.7265625" customWidth="1"/>
  </cols>
  <sheetData>
    <row r="1" spans="1:25" s="220" customFormat="1" ht="30" x14ac:dyDescent="0.6">
      <c r="A1" s="414" t="s">
        <v>366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6"/>
    </row>
    <row r="2" spans="1:25" s="220" customFormat="1" ht="30" x14ac:dyDescent="0.6">
      <c r="A2" s="417" t="s">
        <v>257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9"/>
    </row>
    <row r="4" spans="1:25" ht="13" x14ac:dyDescent="0.3">
      <c r="A4" s="21"/>
      <c r="B4" s="527" t="s">
        <v>15</v>
      </c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7" t="s">
        <v>188</v>
      </c>
      <c r="O4" s="530"/>
      <c r="P4" s="520" t="s">
        <v>104</v>
      </c>
      <c r="Q4" s="521"/>
      <c r="R4" s="521"/>
      <c r="S4" s="521"/>
      <c r="T4" s="529" t="s">
        <v>40</v>
      </c>
      <c r="U4" s="530"/>
      <c r="V4" s="520" t="s">
        <v>104</v>
      </c>
      <c r="W4" s="521"/>
      <c r="X4" s="521"/>
      <c r="Y4" s="525"/>
    </row>
    <row r="5" spans="1:25" ht="13" x14ac:dyDescent="0.3">
      <c r="A5" s="518" t="s">
        <v>9</v>
      </c>
      <c r="B5" s="522" t="s">
        <v>228</v>
      </c>
      <c r="C5" s="517" t="s">
        <v>260</v>
      </c>
      <c r="D5" s="78"/>
      <c r="E5" s="78"/>
      <c r="F5" s="78"/>
      <c r="G5" s="517" t="s">
        <v>261</v>
      </c>
      <c r="H5" s="517" t="s">
        <v>17</v>
      </c>
      <c r="I5" s="517" t="s">
        <v>268</v>
      </c>
      <c r="J5" s="517" t="s">
        <v>41</v>
      </c>
      <c r="K5" s="78"/>
      <c r="L5" s="517" t="s">
        <v>264</v>
      </c>
      <c r="M5" s="517" t="s">
        <v>265</v>
      </c>
      <c r="N5" s="522" t="s">
        <v>187</v>
      </c>
      <c r="O5" s="514" t="s">
        <v>188</v>
      </c>
      <c r="P5" s="520" t="s">
        <v>39</v>
      </c>
      <c r="Q5" s="521"/>
      <c r="R5" s="521"/>
      <c r="S5" s="521"/>
      <c r="T5" s="522" t="s">
        <v>269</v>
      </c>
      <c r="U5" s="43"/>
      <c r="V5" s="520" t="s">
        <v>107</v>
      </c>
      <c r="W5" s="521"/>
      <c r="X5" s="521"/>
      <c r="Y5" s="525"/>
    </row>
    <row r="6" spans="1:25" ht="13" x14ac:dyDescent="0.3">
      <c r="A6" s="518"/>
      <c r="B6" s="523"/>
      <c r="C6" s="518"/>
      <c r="D6" s="8"/>
      <c r="E6" s="8"/>
      <c r="F6" s="8"/>
      <c r="G6" s="518"/>
      <c r="H6" s="518"/>
      <c r="I6" s="518"/>
      <c r="J6" s="518"/>
      <c r="K6" s="8"/>
      <c r="L6" s="518"/>
      <c r="M6" s="518"/>
      <c r="N6" s="523"/>
      <c r="O6" s="515"/>
      <c r="P6" s="522" t="s">
        <v>266</v>
      </c>
      <c r="Q6" s="517" t="s">
        <v>108</v>
      </c>
      <c r="R6" s="517" t="s">
        <v>105</v>
      </c>
      <c r="S6" s="514" t="s">
        <v>106</v>
      </c>
      <c r="T6" s="523"/>
      <c r="U6" s="42"/>
      <c r="V6" s="522" t="s">
        <v>266</v>
      </c>
      <c r="W6" s="517" t="s">
        <v>108</v>
      </c>
      <c r="X6" s="517" t="s">
        <v>105</v>
      </c>
      <c r="Y6" s="514" t="s">
        <v>106</v>
      </c>
    </row>
    <row r="7" spans="1:25" ht="13" x14ac:dyDescent="0.3">
      <c r="A7" s="518"/>
      <c r="B7" s="523"/>
      <c r="C7" s="518"/>
      <c r="D7" s="8" t="s">
        <v>109</v>
      </c>
      <c r="E7" s="8" t="s">
        <v>111</v>
      </c>
      <c r="F7" s="8" t="s">
        <v>113</v>
      </c>
      <c r="G7" s="518"/>
      <c r="H7" s="518"/>
      <c r="I7" s="518"/>
      <c r="J7" s="518"/>
      <c r="K7" s="8" t="s">
        <v>131</v>
      </c>
      <c r="L7" s="518"/>
      <c r="M7" s="518"/>
      <c r="N7" s="523"/>
      <c r="O7" s="515"/>
      <c r="P7" s="523"/>
      <c r="Q7" s="518"/>
      <c r="R7" s="518"/>
      <c r="S7" s="515"/>
      <c r="T7" s="523"/>
      <c r="U7" s="42" t="s">
        <v>43</v>
      </c>
      <c r="V7" s="523"/>
      <c r="W7" s="518"/>
      <c r="X7" s="518"/>
      <c r="Y7" s="515"/>
    </row>
    <row r="8" spans="1:25" ht="15.5" thickBot="1" x14ac:dyDescent="0.35">
      <c r="A8" s="519"/>
      <c r="B8" s="524"/>
      <c r="C8" s="519"/>
      <c r="D8" s="79" t="s">
        <v>110</v>
      </c>
      <c r="E8" s="79" t="s">
        <v>112</v>
      </c>
      <c r="F8" s="79" t="s">
        <v>110</v>
      </c>
      <c r="G8" s="519"/>
      <c r="H8" s="519"/>
      <c r="I8" s="519"/>
      <c r="J8" s="519"/>
      <c r="K8" s="79" t="s">
        <v>132</v>
      </c>
      <c r="L8" s="519"/>
      <c r="M8" s="519"/>
      <c r="N8" s="524"/>
      <c r="O8" s="516"/>
      <c r="P8" s="524"/>
      <c r="Q8" s="519"/>
      <c r="R8" s="519"/>
      <c r="S8" s="516"/>
      <c r="T8" s="524"/>
      <c r="U8" s="39" t="s">
        <v>270</v>
      </c>
      <c r="V8" s="524"/>
      <c r="W8" s="519"/>
      <c r="X8" s="519"/>
      <c r="Y8" s="516"/>
    </row>
    <row r="9" spans="1:25" ht="13.5" thickBot="1" x14ac:dyDescent="0.35">
      <c r="A9" s="8"/>
      <c r="B9" s="531" t="s">
        <v>18</v>
      </c>
      <c r="C9" s="532"/>
      <c r="D9" s="532"/>
      <c r="E9" s="532"/>
      <c r="F9" s="532"/>
      <c r="G9" s="532"/>
      <c r="H9" s="533"/>
      <c r="I9" s="22"/>
      <c r="J9" s="22"/>
      <c r="K9" s="22"/>
      <c r="L9" s="22"/>
      <c r="M9" s="23"/>
      <c r="N9" s="22"/>
      <c r="O9" s="22"/>
      <c r="P9" s="24"/>
      <c r="Q9" s="32"/>
      <c r="R9" s="22"/>
      <c r="S9" s="23"/>
      <c r="T9" s="22"/>
      <c r="U9" s="22"/>
      <c r="V9" s="24"/>
      <c r="W9" s="32"/>
      <c r="X9" s="22"/>
      <c r="Y9" s="23"/>
    </row>
    <row r="10" spans="1:25" x14ac:dyDescent="0.25">
      <c r="A10" s="9">
        <v>1967</v>
      </c>
      <c r="B10" s="87">
        <v>13.331</v>
      </c>
      <c r="C10" s="88">
        <v>2.1669999999999998</v>
      </c>
      <c r="D10" s="88">
        <v>2.1669999999999998</v>
      </c>
      <c r="E10" s="88"/>
      <c r="F10" s="89">
        <v>1.409</v>
      </c>
      <c r="G10" s="89">
        <v>1.409</v>
      </c>
      <c r="H10" s="534" t="s">
        <v>44</v>
      </c>
      <c r="I10" s="88">
        <v>0.80100000000000005</v>
      </c>
      <c r="J10" s="90">
        <v>9.6000000000000002E-2</v>
      </c>
      <c r="K10" s="90"/>
      <c r="L10" s="88">
        <v>0.29399999999999998</v>
      </c>
      <c r="M10" s="91">
        <v>0.41099999999999998</v>
      </c>
      <c r="N10" s="88"/>
      <c r="O10" s="88"/>
      <c r="P10" s="92">
        <v>1.2</v>
      </c>
      <c r="Q10" s="74"/>
      <c r="R10" s="74">
        <v>0.495</v>
      </c>
      <c r="S10" s="93">
        <v>6.875</v>
      </c>
      <c r="T10" s="88">
        <v>0.34200000000000003</v>
      </c>
      <c r="U10" s="94"/>
      <c r="V10" s="95">
        <v>1.2999999999999999E-2</v>
      </c>
      <c r="W10" s="75"/>
      <c r="X10" s="96">
        <v>5.4999999999999997E-3</v>
      </c>
      <c r="Y10" s="93">
        <v>7.5999999999999998E-2</v>
      </c>
    </row>
    <row r="11" spans="1:25" x14ac:dyDescent="0.25">
      <c r="A11" s="9">
        <v>1968</v>
      </c>
      <c r="B11" s="87">
        <v>17.326000000000001</v>
      </c>
      <c r="C11" s="88">
        <v>3.32</v>
      </c>
      <c r="D11" s="88">
        <v>3.32</v>
      </c>
      <c r="E11" s="88"/>
      <c r="F11" s="87">
        <v>2.0680000000000001</v>
      </c>
      <c r="G11" s="87">
        <v>2.0680000000000001</v>
      </c>
      <c r="H11" s="535"/>
      <c r="I11" s="88">
        <v>1.3069999999999999</v>
      </c>
      <c r="J11" s="90">
        <v>0.17899999999999999</v>
      </c>
      <c r="K11" s="90"/>
      <c r="L11" s="88">
        <v>0.54500000000000004</v>
      </c>
      <c r="M11" s="91">
        <v>0.58299999999999996</v>
      </c>
      <c r="N11" s="88"/>
      <c r="O11" s="88"/>
      <c r="P11" s="92">
        <v>1.6</v>
      </c>
      <c r="Q11" s="74"/>
      <c r="R11" s="74">
        <v>0.56000000000000005</v>
      </c>
      <c r="S11" s="93">
        <v>25</v>
      </c>
      <c r="T11" s="88">
        <v>0.36399999999999999</v>
      </c>
      <c r="U11" s="94"/>
      <c r="V11" s="95">
        <v>1.7000000000000001E-2</v>
      </c>
      <c r="W11" s="75"/>
      <c r="X11" s="96">
        <v>6.1999999999999998E-3</v>
      </c>
      <c r="Y11" s="93">
        <v>0.28000000000000003</v>
      </c>
    </row>
    <row r="12" spans="1:25" x14ac:dyDescent="0.25">
      <c r="A12" s="9">
        <v>1969</v>
      </c>
      <c r="B12" s="87">
        <v>25.170999999999999</v>
      </c>
      <c r="C12" s="88">
        <v>4.6589999999999998</v>
      </c>
      <c r="D12" s="88">
        <v>4.6589999999999998</v>
      </c>
      <c r="E12" s="88"/>
      <c r="F12" s="87">
        <v>2.944</v>
      </c>
      <c r="G12" s="87">
        <v>2.944</v>
      </c>
      <c r="H12" s="535"/>
      <c r="I12" s="88">
        <v>1.715044</v>
      </c>
      <c r="J12" s="90">
        <v>0.34699999999999998</v>
      </c>
      <c r="K12" s="90"/>
      <c r="L12" s="88">
        <v>0.623</v>
      </c>
      <c r="M12" s="91">
        <v>0.745</v>
      </c>
      <c r="N12" s="88"/>
      <c r="O12" s="88"/>
      <c r="P12" s="92">
        <v>0.93</v>
      </c>
      <c r="Q12" s="74"/>
      <c r="R12" s="74">
        <v>0.35399999999999998</v>
      </c>
      <c r="S12" s="93">
        <v>21.125</v>
      </c>
      <c r="T12" s="88">
        <v>0.80500000000000005</v>
      </c>
      <c r="U12" s="97" t="s">
        <v>45</v>
      </c>
      <c r="V12" s="95">
        <v>1.7000000000000001E-2</v>
      </c>
      <c r="W12" s="75"/>
      <c r="X12" s="96">
        <v>6.6E-3</v>
      </c>
      <c r="Y12" s="93">
        <v>0.39</v>
      </c>
    </row>
    <row r="13" spans="1:25" x14ac:dyDescent="0.25">
      <c r="A13" s="10">
        <v>1970</v>
      </c>
      <c r="B13" s="98">
        <v>30.143999999999998</v>
      </c>
      <c r="C13" s="99">
        <v>6.274</v>
      </c>
      <c r="D13" s="99">
        <v>6.274</v>
      </c>
      <c r="E13" s="99"/>
      <c r="F13" s="98">
        <v>4.0179999999999998</v>
      </c>
      <c r="G13" s="98">
        <v>4.0179999999999998</v>
      </c>
      <c r="H13" s="535"/>
      <c r="I13" s="99">
        <v>2.2559999999999998</v>
      </c>
      <c r="J13" s="100">
        <v>0.57799999999999996</v>
      </c>
      <c r="K13" s="100"/>
      <c r="L13" s="99">
        <v>0.72099999999999997</v>
      </c>
      <c r="M13" s="101">
        <v>0.95699999999999996</v>
      </c>
      <c r="N13" s="99"/>
      <c r="O13" s="99"/>
      <c r="P13" s="102">
        <v>0.98</v>
      </c>
      <c r="Q13" s="103"/>
      <c r="R13" s="103">
        <v>0.36</v>
      </c>
      <c r="S13" s="104">
        <v>12.75</v>
      </c>
      <c r="T13" s="99">
        <v>0.97799999999999998</v>
      </c>
      <c r="U13" s="105"/>
      <c r="V13" s="106">
        <v>1.7999999999999999E-2</v>
      </c>
      <c r="W13" s="107"/>
      <c r="X13" s="108">
        <v>6.7000000000000002E-3</v>
      </c>
      <c r="Y13" s="104">
        <v>0.24</v>
      </c>
    </row>
    <row r="14" spans="1:25" x14ac:dyDescent="0.25">
      <c r="A14" s="9">
        <v>1971</v>
      </c>
      <c r="B14" s="87">
        <v>37.042000000000002</v>
      </c>
      <c r="C14" s="88">
        <v>7.7709999999999999</v>
      </c>
      <c r="D14" s="88">
        <v>7.7709999999999999</v>
      </c>
      <c r="E14" s="88"/>
      <c r="F14" s="87">
        <v>4.7530000000000001</v>
      </c>
      <c r="G14" s="87">
        <v>4.7530000000000001</v>
      </c>
      <c r="H14" s="535"/>
      <c r="I14" s="88">
        <v>3.0190000000000001</v>
      </c>
      <c r="J14" s="90">
        <v>0.67600000000000005</v>
      </c>
      <c r="K14" s="90"/>
      <c r="L14" s="88">
        <v>1.1399999999999999</v>
      </c>
      <c r="M14" s="91">
        <v>1.2030000000000001</v>
      </c>
      <c r="N14" s="88"/>
      <c r="O14" s="88"/>
      <c r="P14" s="92">
        <v>1.1599999999999999</v>
      </c>
      <c r="Q14" s="74"/>
      <c r="R14" s="74">
        <v>0.36</v>
      </c>
      <c r="S14" s="93">
        <v>17.375</v>
      </c>
      <c r="T14" s="88">
        <v>1.038</v>
      </c>
      <c r="U14" s="94"/>
      <c r="V14" s="95">
        <v>2.1000000000000001E-2</v>
      </c>
      <c r="W14" s="75"/>
      <c r="X14" s="96">
        <v>6.7000000000000002E-3</v>
      </c>
      <c r="Y14" s="93">
        <v>0.32</v>
      </c>
    </row>
    <row r="15" spans="1:25" x14ac:dyDescent="0.25">
      <c r="A15" s="9">
        <v>1972</v>
      </c>
      <c r="B15" s="87">
        <v>58.493000000000002</v>
      </c>
      <c r="C15" s="88">
        <v>13.362</v>
      </c>
      <c r="D15" s="88">
        <v>13.362</v>
      </c>
      <c r="E15" s="88"/>
      <c r="F15" s="87">
        <v>7.992</v>
      </c>
      <c r="G15" s="87">
        <v>7.992</v>
      </c>
      <c r="H15" s="535"/>
      <c r="I15" s="88">
        <v>5.370539</v>
      </c>
      <c r="J15" s="90">
        <v>0.67900000000000005</v>
      </c>
      <c r="K15" s="90"/>
      <c r="L15" s="88">
        <v>2.23</v>
      </c>
      <c r="M15" s="91">
        <v>2.4620000000000002</v>
      </c>
      <c r="N15" s="88"/>
      <c r="O15" s="88"/>
      <c r="P15" s="92">
        <v>1.07</v>
      </c>
      <c r="Q15" s="74"/>
      <c r="R15" s="74">
        <v>0.25</v>
      </c>
      <c r="S15" s="93">
        <v>34.625</v>
      </c>
      <c r="T15" s="88">
        <v>2.3090000000000002</v>
      </c>
      <c r="U15" s="94"/>
      <c r="V15" s="95">
        <v>0.03</v>
      </c>
      <c r="W15" s="75"/>
      <c r="X15" s="96">
        <v>6.8999999999999999E-3</v>
      </c>
      <c r="Y15" s="93">
        <v>0.64</v>
      </c>
    </row>
    <row r="16" spans="1:25" x14ac:dyDescent="0.25">
      <c r="A16" s="9">
        <v>1973</v>
      </c>
      <c r="B16" s="87">
        <v>82.192999999999998</v>
      </c>
      <c r="C16" s="88">
        <v>19.568999999999999</v>
      </c>
      <c r="D16" s="88">
        <v>19.568999999999999</v>
      </c>
      <c r="E16" s="88"/>
      <c r="F16" s="98">
        <v>11.167</v>
      </c>
      <c r="G16" s="98">
        <v>11.167</v>
      </c>
      <c r="H16" s="536"/>
      <c r="I16" s="88">
        <v>8.4019740000000009</v>
      </c>
      <c r="J16" s="90">
        <v>1.4570000000000001</v>
      </c>
      <c r="K16" s="90"/>
      <c r="L16" s="88">
        <v>3.2509999999999999</v>
      </c>
      <c r="M16" s="91">
        <v>3.694</v>
      </c>
      <c r="N16" s="88"/>
      <c r="O16" s="88"/>
      <c r="P16" s="92">
        <v>1.44</v>
      </c>
      <c r="Q16" s="74"/>
      <c r="R16" s="74">
        <v>0.26</v>
      </c>
      <c r="S16" s="93">
        <v>9.875</v>
      </c>
      <c r="T16" s="88">
        <v>2.5710000000000002</v>
      </c>
      <c r="U16" s="97" t="s">
        <v>46</v>
      </c>
      <c r="V16" s="95">
        <v>0.04</v>
      </c>
      <c r="W16" s="75"/>
      <c r="X16" s="96">
        <v>7.1999999999999998E-3</v>
      </c>
      <c r="Y16" s="93">
        <v>0.27</v>
      </c>
    </row>
    <row r="17" spans="1:25" x14ac:dyDescent="0.25">
      <c r="A17" s="9">
        <v>1974</v>
      </c>
      <c r="B17" s="87">
        <v>94.382000000000005</v>
      </c>
      <c r="C17" s="88">
        <v>21.445</v>
      </c>
      <c r="D17" s="88">
        <v>21.445</v>
      </c>
      <c r="E17" s="88"/>
      <c r="F17" s="88">
        <v>11.372</v>
      </c>
      <c r="G17" s="88">
        <v>11.372</v>
      </c>
      <c r="H17" s="88">
        <v>0.247922</v>
      </c>
      <c r="I17" s="88">
        <v>9.3330000000000002</v>
      </c>
      <c r="J17" s="90">
        <v>2.7389999999999999</v>
      </c>
      <c r="K17" s="90"/>
      <c r="L17" s="88">
        <v>3.3159999999999998</v>
      </c>
      <c r="M17" s="91">
        <v>3.278</v>
      </c>
      <c r="N17" s="88"/>
      <c r="O17" s="88"/>
      <c r="P17" s="92">
        <v>1.25</v>
      </c>
      <c r="Q17" s="74"/>
      <c r="R17" s="74">
        <v>0.28999999999999998</v>
      </c>
      <c r="S17" s="93">
        <v>5.25</v>
      </c>
      <c r="T17" s="88">
        <v>2.6190000000000002</v>
      </c>
      <c r="U17" s="94"/>
      <c r="V17" s="95">
        <v>3.5000000000000003E-2</v>
      </c>
      <c r="W17" s="75"/>
      <c r="X17" s="96">
        <v>8.0999999999999996E-3</v>
      </c>
      <c r="Y17" s="93">
        <v>0.15</v>
      </c>
    </row>
    <row r="18" spans="1:25" x14ac:dyDescent="0.25">
      <c r="A18" s="10">
        <v>1975</v>
      </c>
      <c r="B18" s="98">
        <v>98.314999999999998</v>
      </c>
      <c r="C18" s="99">
        <v>21.992000000000001</v>
      </c>
      <c r="D18" s="99">
        <v>21.992000000000001</v>
      </c>
      <c r="E18" s="99"/>
      <c r="F18" s="99">
        <v>12.925000000000001</v>
      </c>
      <c r="G18" s="99">
        <v>12.925000000000001</v>
      </c>
      <c r="H18" s="99">
        <v>0.230492</v>
      </c>
      <c r="I18" s="99">
        <v>8.6639999999999997</v>
      </c>
      <c r="J18" s="100">
        <v>1.9770000000000001</v>
      </c>
      <c r="K18" s="100"/>
      <c r="L18" s="99">
        <v>3.4569999999999999</v>
      </c>
      <c r="M18" s="101">
        <v>3.23</v>
      </c>
      <c r="N18" s="99"/>
      <c r="O18" s="99"/>
      <c r="P18" s="102">
        <v>1.23</v>
      </c>
      <c r="Q18" s="103"/>
      <c r="R18" s="103">
        <v>0.32</v>
      </c>
      <c r="S18" s="104">
        <v>7.625</v>
      </c>
      <c r="T18" s="99">
        <v>2.625</v>
      </c>
      <c r="U18" s="105"/>
      <c r="V18" s="106">
        <v>3.4000000000000002E-2</v>
      </c>
      <c r="W18" s="107"/>
      <c r="X18" s="108">
        <v>8.8999999999999999E-3</v>
      </c>
      <c r="Y18" s="104">
        <v>0.21</v>
      </c>
    </row>
    <row r="19" spans="1:25" x14ac:dyDescent="0.25">
      <c r="A19" s="9">
        <v>1976</v>
      </c>
      <c r="B19" s="87">
        <v>117.69199999999999</v>
      </c>
      <c r="C19" s="88">
        <v>27.888000000000002</v>
      </c>
      <c r="D19" s="88">
        <v>27.888000000000002</v>
      </c>
      <c r="E19" s="88"/>
      <c r="F19" s="88">
        <v>14.76</v>
      </c>
      <c r="G19" s="88">
        <v>14.76</v>
      </c>
      <c r="H19" s="88">
        <v>0.55375199999999991</v>
      </c>
      <c r="I19" s="88">
        <v>12.327</v>
      </c>
      <c r="J19" s="90">
        <v>1.456</v>
      </c>
      <c r="K19" s="90"/>
      <c r="L19" s="88">
        <v>5.569</v>
      </c>
      <c r="M19" s="91">
        <v>5.3019999999999996</v>
      </c>
      <c r="N19" s="88"/>
      <c r="O19" s="88"/>
      <c r="P19" s="92">
        <v>1.99</v>
      </c>
      <c r="Q19" s="74"/>
      <c r="R19" s="74">
        <v>0.36</v>
      </c>
      <c r="S19" s="93">
        <v>12.75</v>
      </c>
      <c r="T19" s="88">
        <v>2.66</v>
      </c>
      <c r="U19" s="94"/>
      <c r="V19" s="95">
        <v>5.5E-2</v>
      </c>
      <c r="W19" s="75"/>
      <c r="X19" s="75">
        <v>0.01</v>
      </c>
      <c r="Y19" s="93">
        <v>0.35</v>
      </c>
    </row>
    <row r="20" spans="1:25" x14ac:dyDescent="0.25">
      <c r="A20" s="9">
        <v>1977</v>
      </c>
      <c r="B20" s="87">
        <v>156.88</v>
      </c>
      <c r="C20" s="88">
        <v>33.218000000000004</v>
      </c>
      <c r="D20" s="88">
        <v>33.218000000000004</v>
      </c>
      <c r="E20" s="88"/>
      <c r="F20" s="88">
        <v>18.079000000000001</v>
      </c>
      <c r="G20" s="88">
        <v>18.079000000000001</v>
      </c>
      <c r="H20" s="88">
        <v>0.46068200000000004</v>
      </c>
      <c r="I20" s="88">
        <v>14.678000000000001</v>
      </c>
      <c r="J20" s="90">
        <v>1.8660000000000001</v>
      </c>
      <c r="K20" s="90"/>
      <c r="L20" s="88">
        <v>6.306</v>
      </c>
      <c r="M20" s="91">
        <v>6.5060000000000002</v>
      </c>
      <c r="N20" s="88"/>
      <c r="O20" s="88"/>
      <c r="P20" s="92">
        <v>2.4300000000000002</v>
      </c>
      <c r="Q20" s="74"/>
      <c r="R20" s="74">
        <v>0.44</v>
      </c>
      <c r="S20" s="93">
        <v>16.75</v>
      </c>
      <c r="T20" s="88">
        <v>2.677</v>
      </c>
      <c r="U20" s="94"/>
      <c r="V20" s="95">
        <v>6.8000000000000005E-2</v>
      </c>
      <c r="W20" s="75"/>
      <c r="X20" s="75">
        <v>1.2200000000000001E-2</v>
      </c>
      <c r="Y20" s="93">
        <v>0.47</v>
      </c>
    </row>
    <row r="21" spans="1:25" x14ac:dyDescent="0.25">
      <c r="A21" s="9">
        <v>1978</v>
      </c>
      <c r="B21" s="87">
        <v>179.749</v>
      </c>
      <c r="C21" s="88">
        <v>38.548999999999999</v>
      </c>
      <c r="D21" s="88">
        <v>38.548999999999999</v>
      </c>
      <c r="E21" s="88"/>
      <c r="F21" s="88">
        <v>20.04</v>
      </c>
      <c r="G21" s="88">
        <v>20.04</v>
      </c>
      <c r="H21" s="88">
        <v>0.88800000000000001</v>
      </c>
      <c r="I21" s="88">
        <v>18.646999999999998</v>
      </c>
      <c r="J21" s="90">
        <v>2.5409999999999999</v>
      </c>
      <c r="K21" s="90"/>
      <c r="L21" s="88">
        <v>7.24</v>
      </c>
      <c r="M21" s="91">
        <v>8.8659999999999997</v>
      </c>
      <c r="N21" s="88"/>
      <c r="O21" s="88"/>
      <c r="P21" s="92">
        <v>2.2000000000000002</v>
      </c>
      <c r="Q21" s="74"/>
      <c r="R21" s="74">
        <v>0.35299999999999998</v>
      </c>
      <c r="S21" s="93">
        <v>13.375</v>
      </c>
      <c r="T21" s="88">
        <v>4.0350000000000001</v>
      </c>
      <c r="U21" s="97" t="s">
        <v>46</v>
      </c>
      <c r="V21" s="95">
        <v>9.1999999999999998E-2</v>
      </c>
      <c r="W21" s="75"/>
      <c r="X21" s="75">
        <v>1.47E-2</v>
      </c>
      <c r="Y21" s="93">
        <v>0.56000000000000005</v>
      </c>
    </row>
    <row r="22" spans="1:25" x14ac:dyDescent="0.25">
      <c r="A22" s="9">
        <v>1979</v>
      </c>
      <c r="B22" s="87">
        <v>214.64500000000001</v>
      </c>
      <c r="C22" s="88">
        <v>31.283999999999999</v>
      </c>
      <c r="D22" s="88">
        <v>40.384</v>
      </c>
      <c r="E22" s="88">
        <v>9.1</v>
      </c>
      <c r="F22" s="88">
        <v>23.960999999999999</v>
      </c>
      <c r="G22" s="88">
        <v>14.860999999999999</v>
      </c>
      <c r="H22" s="88">
        <v>1.024</v>
      </c>
      <c r="I22" s="88">
        <v>15.71</v>
      </c>
      <c r="J22" s="90">
        <v>3.7869999999999999</v>
      </c>
      <c r="K22" s="90"/>
      <c r="L22" s="88">
        <v>5.0419999999999998</v>
      </c>
      <c r="M22" s="91">
        <v>6.8810000000000002</v>
      </c>
      <c r="N22" s="88"/>
      <c r="O22" s="88"/>
      <c r="P22" s="92">
        <v>1.7</v>
      </c>
      <c r="Q22" s="74"/>
      <c r="R22" s="74">
        <v>0.44</v>
      </c>
      <c r="S22" s="93">
        <v>11.125</v>
      </c>
      <c r="T22" s="88">
        <v>4.0510000000000002</v>
      </c>
      <c r="U22" s="94"/>
      <c r="V22" s="95">
        <v>7.0999999999999994E-2</v>
      </c>
      <c r="W22" s="75"/>
      <c r="X22" s="75">
        <v>1.83E-2</v>
      </c>
      <c r="Y22" s="93">
        <v>0.46</v>
      </c>
    </row>
    <row r="23" spans="1:25" x14ac:dyDescent="0.25">
      <c r="A23" s="10">
        <v>1980</v>
      </c>
      <c r="B23" s="98">
        <v>229.19399999999999</v>
      </c>
      <c r="C23" s="99">
        <v>35.840000000000003</v>
      </c>
      <c r="D23" s="99">
        <v>44.94</v>
      </c>
      <c r="E23" s="99">
        <v>9.1</v>
      </c>
      <c r="F23" s="99">
        <v>26.658999999999999</v>
      </c>
      <c r="G23" s="99">
        <v>17.558999999999997</v>
      </c>
      <c r="H23" s="99">
        <v>0.92900000000000005</v>
      </c>
      <c r="I23" s="99">
        <v>18.064</v>
      </c>
      <c r="J23" s="100">
        <v>3.448</v>
      </c>
      <c r="K23" s="100"/>
      <c r="L23" s="99">
        <v>6.2210000000000001</v>
      </c>
      <c r="M23" s="101">
        <v>8.3949999999999996</v>
      </c>
      <c r="N23" s="99"/>
      <c r="O23" s="99"/>
      <c r="P23" s="102">
        <v>2.06</v>
      </c>
      <c r="Q23" s="103"/>
      <c r="R23" s="103">
        <v>0.51</v>
      </c>
      <c r="S23" s="104">
        <v>12.25</v>
      </c>
      <c r="T23" s="99">
        <v>4.0810000000000004</v>
      </c>
      <c r="U23" s="105"/>
      <c r="V23" s="106">
        <v>8.5999999999999993E-2</v>
      </c>
      <c r="W23" s="107"/>
      <c r="X23" s="107">
        <v>2.1299999999999999E-2</v>
      </c>
      <c r="Y23" s="104">
        <v>0.51</v>
      </c>
    </row>
    <row r="24" spans="1:25" x14ac:dyDescent="0.25">
      <c r="A24" s="9">
        <v>1981</v>
      </c>
      <c r="B24" s="87">
        <v>262.57499999999999</v>
      </c>
      <c r="C24" s="88">
        <v>43.436999999999998</v>
      </c>
      <c r="D24" s="88">
        <v>53.637</v>
      </c>
      <c r="E24" s="88">
        <v>10.199999999999999</v>
      </c>
      <c r="F24" s="88">
        <v>30.28</v>
      </c>
      <c r="G24" s="88">
        <v>20.079999999999998</v>
      </c>
      <c r="H24" s="88">
        <v>0.46</v>
      </c>
      <c r="I24" s="88">
        <v>23.57</v>
      </c>
      <c r="J24" s="90">
        <v>2.952</v>
      </c>
      <c r="K24" s="90"/>
      <c r="L24" s="88">
        <v>8.6649999999999991</v>
      </c>
      <c r="M24" s="91">
        <v>11.952999999999999</v>
      </c>
      <c r="N24" s="88"/>
      <c r="O24" s="88"/>
      <c r="P24" s="92">
        <v>3.14</v>
      </c>
      <c r="Q24" s="74"/>
      <c r="R24" s="74">
        <v>0.6</v>
      </c>
      <c r="S24" s="93">
        <v>22.125</v>
      </c>
      <c r="T24" s="88">
        <v>3.802</v>
      </c>
      <c r="U24" s="94"/>
      <c r="V24" s="95">
        <v>0.13100000000000001</v>
      </c>
      <c r="W24" s="75"/>
      <c r="X24" s="75">
        <v>2.5000000000000001E-2</v>
      </c>
      <c r="Y24" s="93">
        <v>0.92</v>
      </c>
    </row>
    <row r="25" spans="1:25" x14ac:dyDescent="0.25">
      <c r="A25" s="9">
        <v>1982</v>
      </c>
      <c r="B25" s="87">
        <v>274.95699999999999</v>
      </c>
      <c r="C25" s="88">
        <v>41.557000000000002</v>
      </c>
      <c r="D25" s="88">
        <v>52.856999999999999</v>
      </c>
      <c r="E25" s="88">
        <v>11.3</v>
      </c>
      <c r="F25" s="88">
        <v>33.354999999999997</v>
      </c>
      <c r="G25" s="88">
        <v>22.055</v>
      </c>
      <c r="H25" s="88">
        <v>1.1890000000000001</v>
      </c>
      <c r="I25" s="88">
        <v>18.872</v>
      </c>
      <c r="J25" s="90">
        <v>3.512</v>
      </c>
      <c r="K25" s="90"/>
      <c r="L25" s="88">
        <v>6.2279999999999998</v>
      </c>
      <c r="M25" s="91">
        <v>9.1319999999999997</v>
      </c>
      <c r="N25" s="88"/>
      <c r="O25" s="88"/>
      <c r="P25" s="92">
        <v>2.54</v>
      </c>
      <c r="Q25" s="74"/>
      <c r="R25" s="74">
        <v>0.68</v>
      </c>
      <c r="S25" s="93">
        <v>25.625</v>
      </c>
      <c r="T25" s="88">
        <v>3.5990000000000002</v>
      </c>
      <c r="U25" s="94"/>
      <c r="V25" s="95">
        <v>0.106</v>
      </c>
      <c r="W25" s="75"/>
      <c r="X25" s="75">
        <v>2.8299999999999999E-2</v>
      </c>
      <c r="Y25" s="93">
        <v>1.07</v>
      </c>
    </row>
    <row r="26" spans="1:25" x14ac:dyDescent="0.25">
      <c r="A26" s="9">
        <v>1983</v>
      </c>
      <c r="B26" s="87">
        <v>354.05799999999999</v>
      </c>
      <c r="C26" s="88">
        <v>56.89</v>
      </c>
      <c r="D26" s="88">
        <v>70.69</v>
      </c>
      <c r="E26" s="88">
        <v>13.8</v>
      </c>
      <c r="F26" s="88">
        <v>40.710999999999999</v>
      </c>
      <c r="G26" s="88">
        <v>26.910999999999998</v>
      </c>
      <c r="H26" s="88">
        <v>0.23699999999999999</v>
      </c>
      <c r="I26" s="88">
        <v>31.138999999999999</v>
      </c>
      <c r="J26" s="90">
        <v>4.6289999999999996</v>
      </c>
      <c r="K26" s="90"/>
      <c r="L26" s="88">
        <v>10.935</v>
      </c>
      <c r="M26" s="91">
        <v>15.574999999999999</v>
      </c>
      <c r="N26" s="88"/>
      <c r="O26" s="88"/>
      <c r="P26" s="92">
        <v>1.83</v>
      </c>
      <c r="Q26" s="74"/>
      <c r="R26" s="74">
        <v>0.375</v>
      </c>
      <c r="S26" s="93">
        <v>20</v>
      </c>
      <c r="T26" s="88">
        <v>8.7590000000000003</v>
      </c>
      <c r="U26" s="97" t="s">
        <v>47</v>
      </c>
      <c r="V26" s="95">
        <v>0.153</v>
      </c>
      <c r="W26" s="75"/>
      <c r="X26" s="75">
        <v>3.1300000000000001E-2</v>
      </c>
      <c r="Y26" s="93">
        <v>1.67</v>
      </c>
    </row>
    <row r="27" spans="1:25" x14ac:dyDescent="0.25">
      <c r="A27" s="9">
        <v>1984</v>
      </c>
      <c r="B27" s="87">
        <v>424.815</v>
      </c>
      <c r="C27" s="88">
        <v>67.766000000000005</v>
      </c>
      <c r="D27" s="88">
        <v>83.366</v>
      </c>
      <c r="E27" s="88">
        <v>15.6</v>
      </c>
      <c r="F27" s="88">
        <v>48.456000000000003</v>
      </c>
      <c r="G27" s="88">
        <v>32.856000000000002</v>
      </c>
      <c r="H27" s="88">
        <v>-1.877</v>
      </c>
      <c r="I27" s="88">
        <v>38.185000000000002</v>
      </c>
      <c r="J27" s="90">
        <v>5.4790000000000001</v>
      </c>
      <c r="K27" s="90"/>
      <c r="L27" s="88">
        <v>11.935</v>
      </c>
      <c r="M27" s="91">
        <v>20.771000000000001</v>
      </c>
      <c r="N27" s="88"/>
      <c r="O27" s="88"/>
      <c r="P27" s="92">
        <v>2.14</v>
      </c>
      <c r="Q27" s="74"/>
      <c r="R27" s="74">
        <v>0.44</v>
      </c>
      <c r="S27" s="93">
        <v>18.875</v>
      </c>
      <c r="T27" s="88">
        <v>10.1</v>
      </c>
      <c r="U27" s="94"/>
      <c r="V27" s="95">
        <v>0.17799999999999999</v>
      </c>
      <c r="W27" s="75"/>
      <c r="X27" s="75">
        <v>3.6700000000000003E-2</v>
      </c>
      <c r="Y27" s="93">
        <v>1.57</v>
      </c>
    </row>
    <row r="28" spans="1:25" x14ac:dyDescent="0.25">
      <c r="A28" s="10">
        <v>1985</v>
      </c>
      <c r="B28" s="98">
        <v>478.86099999999999</v>
      </c>
      <c r="C28" s="99">
        <v>83.106999999999999</v>
      </c>
      <c r="D28" s="99">
        <v>101.307</v>
      </c>
      <c r="E28" s="99">
        <v>18.2</v>
      </c>
      <c r="F28" s="99">
        <v>54.636000000000003</v>
      </c>
      <c r="G28" s="99">
        <v>36.436000000000007</v>
      </c>
      <c r="H28" s="99">
        <v>-0.70799999999999996</v>
      </c>
      <c r="I28" s="99">
        <v>47.378999999999998</v>
      </c>
      <c r="J28" s="100">
        <v>6.3170000000000002</v>
      </c>
      <c r="K28" s="100"/>
      <c r="L28" s="99">
        <v>17.068000000000001</v>
      </c>
      <c r="M28" s="101">
        <v>23.994</v>
      </c>
      <c r="N28" s="99"/>
      <c r="O28" s="99"/>
      <c r="P28" s="102">
        <v>1.63</v>
      </c>
      <c r="Q28" s="103"/>
      <c r="R28" s="103">
        <v>0.33300000000000002</v>
      </c>
      <c r="S28" s="104">
        <v>33.25</v>
      </c>
      <c r="T28" s="99">
        <v>15.188000000000001</v>
      </c>
      <c r="U28" s="105"/>
      <c r="V28" s="106">
        <v>0.20399999999999999</v>
      </c>
      <c r="W28" s="107"/>
      <c r="X28" s="107">
        <v>4.1700000000000001E-2</v>
      </c>
      <c r="Y28" s="104">
        <v>2.77</v>
      </c>
    </row>
    <row r="29" spans="1:25" x14ac:dyDescent="0.25">
      <c r="A29" s="9">
        <v>1986</v>
      </c>
      <c r="B29" s="87">
        <v>585.68600000000004</v>
      </c>
      <c r="C29" s="88">
        <v>102.596</v>
      </c>
      <c r="D29" s="88">
        <v>127.196</v>
      </c>
      <c r="E29" s="88">
        <v>24.6</v>
      </c>
      <c r="F29" s="88">
        <v>68.921999999999997</v>
      </c>
      <c r="G29" s="88">
        <v>44.321999999999996</v>
      </c>
      <c r="H29" s="88">
        <v>-6.2460000000000004</v>
      </c>
      <c r="I29" s="88">
        <v>64.52</v>
      </c>
      <c r="J29" s="90">
        <v>6.3819999999999997</v>
      </c>
      <c r="K29" s="90"/>
      <c r="L29" s="88">
        <v>23.562999999999999</v>
      </c>
      <c r="M29" s="91">
        <v>34.575000000000003</v>
      </c>
      <c r="N29" s="88"/>
      <c r="O29" s="88"/>
      <c r="P29" s="92">
        <v>2.0299999999999998</v>
      </c>
      <c r="Q29" s="74"/>
      <c r="R29" s="74">
        <v>0.4</v>
      </c>
      <c r="S29" s="93">
        <v>25.75</v>
      </c>
      <c r="T29" s="88">
        <v>17.526</v>
      </c>
      <c r="U29" s="97" t="s">
        <v>46</v>
      </c>
      <c r="V29" s="95">
        <v>0.254</v>
      </c>
      <c r="W29" s="75"/>
      <c r="X29" s="75">
        <v>0.05</v>
      </c>
      <c r="Y29" s="93">
        <v>3.22</v>
      </c>
    </row>
    <row r="30" spans="1:25" x14ac:dyDescent="0.25">
      <c r="A30" s="9">
        <v>1987</v>
      </c>
      <c r="B30" s="87">
        <v>649.245</v>
      </c>
      <c r="C30" s="88">
        <f>+D30-E30</f>
        <v>113.35199999999999</v>
      </c>
      <c r="D30" s="88">
        <v>141.15199999999999</v>
      </c>
      <c r="E30" s="88">
        <v>27.8</v>
      </c>
      <c r="F30" s="88">
        <v>74.603999999999999</v>
      </c>
      <c r="G30" s="88">
        <v>46.804000000000002</v>
      </c>
      <c r="H30" s="88">
        <v>-3.964</v>
      </c>
      <c r="I30" s="88">
        <v>70.512</v>
      </c>
      <c r="J30" s="90">
        <v>6.4779999999999998</v>
      </c>
      <c r="K30" s="90"/>
      <c r="L30" s="88">
        <v>26.565000000000001</v>
      </c>
      <c r="M30" s="91">
        <v>37.469000000000001</v>
      </c>
      <c r="N30" s="88"/>
      <c r="O30" s="88"/>
      <c r="P30" s="92">
        <v>2.2200000000000002</v>
      </c>
      <c r="Q30" s="74"/>
      <c r="R30" s="74">
        <v>0.56000000000000005</v>
      </c>
      <c r="S30" s="93">
        <v>22</v>
      </c>
      <c r="T30" s="88">
        <v>17.533000000000001</v>
      </c>
      <c r="U30" s="94"/>
      <c r="V30" s="95">
        <v>0.27800000000000002</v>
      </c>
      <c r="W30" s="75"/>
      <c r="X30" s="75">
        <v>7.0000000000000007E-2</v>
      </c>
      <c r="Y30" s="93">
        <v>2.75</v>
      </c>
    </row>
    <row r="31" spans="1:25" x14ac:dyDescent="0.25">
      <c r="A31" s="9">
        <v>1988</v>
      </c>
      <c r="B31" s="87">
        <v>809.90899999999999</v>
      </c>
      <c r="C31" s="88">
        <f t="shared" ref="C31:C45" si="0">+D31-E31</f>
        <v>128.565</v>
      </c>
      <c r="D31" s="88">
        <v>163.16499999999999</v>
      </c>
      <c r="E31" s="88">
        <v>34.6</v>
      </c>
      <c r="F31" s="88">
        <v>96.171000000000006</v>
      </c>
      <c r="G31" s="88">
        <v>61.571000000000005</v>
      </c>
      <c r="H31" s="88">
        <v>-0.38</v>
      </c>
      <c r="I31" s="88">
        <v>67.373999999999995</v>
      </c>
      <c r="J31" s="90">
        <v>7.3639999999999999</v>
      </c>
      <c r="K31" s="90"/>
      <c r="L31" s="88">
        <v>22.280999999999999</v>
      </c>
      <c r="M31" s="91">
        <v>37.728999999999999</v>
      </c>
      <c r="N31" s="88">
        <f>'Cash Flow'!C31+'Cash Flow'!D31</f>
        <v>23.896999999999998</v>
      </c>
      <c r="O31" s="88">
        <f>I31+N31</f>
        <v>91.270999999999987</v>
      </c>
      <c r="P31" s="92">
        <v>2.17</v>
      </c>
      <c r="Q31" s="74">
        <v>2.3780554943844971</v>
      </c>
      <c r="R31" s="74">
        <v>0.64</v>
      </c>
      <c r="S31" s="93">
        <v>23.75</v>
      </c>
      <c r="T31" s="88">
        <v>18.164000000000001</v>
      </c>
      <c r="U31" s="94"/>
      <c r="V31" s="95">
        <v>0.27100000000000002</v>
      </c>
      <c r="W31" s="75">
        <v>0.29725693679806214</v>
      </c>
      <c r="X31" s="75">
        <v>0.08</v>
      </c>
      <c r="Y31" s="93">
        <v>2.97</v>
      </c>
    </row>
    <row r="32" spans="1:25" x14ac:dyDescent="0.25">
      <c r="A32" s="9">
        <v>1989</v>
      </c>
      <c r="B32" s="87">
        <v>991.61699999999996</v>
      </c>
      <c r="C32" s="88">
        <f t="shared" si="0"/>
        <v>165.39400000000001</v>
      </c>
      <c r="D32" s="88">
        <v>208.79400000000001</v>
      </c>
      <c r="E32" s="88">
        <v>43.4</v>
      </c>
      <c r="F32" s="88">
        <v>120.267</v>
      </c>
      <c r="G32" s="88">
        <v>76.86699999999999</v>
      </c>
      <c r="H32" s="88">
        <v>0.10100000000000001</v>
      </c>
      <c r="I32" s="88">
        <v>88.426000000000002</v>
      </c>
      <c r="J32" s="90">
        <v>12.73</v>
      </c>
      <c r="K32" s="90"/>
      <c r="L32" s="88">
        <v>29.792000000000002</v>
      </c>
      <c r="M32" s="91">
        <v>45.904000000000003</v>
      </c>
      <c r="N32" s="88">
        <f>'Cash Flow'!C32+'Cash Flow'!D32</f>
        <v>28.37</v>
      </c>
      <c r="O32" s="88">
        <f t="shared" ref="O32:O49" si="1">I32+N32</f>
        <v>116.79600000000001</v>
      </c>
      <c r="P32" s="92">
        <v>2.58</v>
      </c>
      <c r="Q32" s="74">
        <v>2.9894850948509482</v>
      </c>
      <c r="R32" s="74">
        <v>0.74</v>
      </c>
      <c r="S32" s="93">
        <v>30</v>
      </c>
      <c r="T32" s="88">
        <v>18.45</v>
      </c>
      <c r="U32" s="94"/>
      <c r="V32" s="95">
        <v>0.32300000000000001</v>
      </c>
      <c r="W32" s="75">
        <v>0.37368563685636852</v>
      </c>
      <c r="X32" s="75">
        <v>9.2499999999999999E-2</v>
      </c>
      <c r="Y32" s="93">
        <v>3.75</v>
      </c>
    </row>
    <row r="33" spans="1:25" x14ac:dyDescent="0.25">
      <c r="A33" s="12">
        <v>1990</v>
      </c>
      <c r="B33" s="98">
        <v>1088.624</v>
      </c>
      <c r="C33" s="99">
        <f t="shared" si="0"/>
        <v>179.14999999999998</v>
      </c>
      <c r="D33" s="99">
        <v>231.95</v>
      </c>
      <c r="E33" s="99">
        <v>52.8</v>
      </c>
      <c r="F33" s="99">
        <v>144.27600000000001</v>
      </c>
      <c r="G33" s="99">
        <v>91.476000000000013</v>
      </c>
      <c r="H33" s="99">
        <v>21.928000000000001</v>
      </c>
      <c r="I33" s="99">
        <v>86</v>
      </c>
      <c r="J33" s="100">
        <v>15.17</v>
      </c>
      <c r="K33" s="100"/>
      <c r="L33" s="99">
        <v>27.109000000000002</v>
      </c>
      <c r="M33" s="101">
        <v>43.7</v>
      </c>
      <c r="N33" s="99">
        <f>'Cash Flow'!C33+'Cash Flow'!D33</f>
        <v>34.4</v>
      </c>
      <c r="O33" s="99">
        <f t="shared" si="1"/>
        <v>120.4</v>
      </c>
      <c r="P33" s="102">
        <v>2.4300000000000002</v>
      </c>
      <c r="Q33" s="103">
        <v>3.5228366670232103</v>
      </c>
      <c r="R33" s="103">
        <v>0.84</v>
      </c>
      <c r="S33" s="104">
        <v>26.375</v>
      </c>
      <c r="T33" s="99">
        <v>18.698</v>
      </c>
      <c r="U33" s="105"/>
      <c r="V33" s="106">
        <v>0.29299999999999998</v>
      </c>
      <c r="W33" s="107">
        <v>0.44035458337790129</v>
      </c>
      <c r="X33" s="107">
        <v>0.105</v>
      </c>
      <c r="Y33" s="104">
        <v>3.3</v>
      </c>
    </row>
    <row r="34" spans="1:25" x14ac:dyDescent="0.25">
      <c r="A34" s="9">
        <v>1991</v>
      </c>
      <c r="B34" s="87">
        <v>1081.845</v>
      </c>
      <c r="C34" s="88">
        <f t="shared" si="0"/>
        <v>178.298</v>
      </c>
      <c r="D34" s="88">
        <v>232.398</v>
      </c>
      <c r="E34" s="88">
        <v>54.1</v>
      </c>
      <c r="F34" s="88">
        <v>154.285</v>
      </c>
      <c r="G34" s="88">
        <v>100.185</v>
      </c>
      <c r="H34" s="88">
        <v>1.9750000000000001</v>
      </c>
      <c r="I34" s="88">
        <v>76.099999999999994</v>
      </c>
      <c r="J34" s="90">
        <v>12.285</v>
      </c>
      <c r="K34" s="90"/>
      <c r="L34" s="88">
        <v>24.460999999999999</v>
      </c>
      <c r="M34" s="91">
        <v>39.392000000000003</v>
      </c>
      <c r="N34" s="88">
        <f>'Cash Flow'!C34+'Cash Flow'!D34</f>
        <v>36.4</v>
      </c>
      <c r="O34" s="88">
        <f t="shared" si="1"/>
        <v>112.5</v>
      </c>
      <c r="P34" s="92">
        <v>2.1800000000000002</v>
      </c>
      <c r="Q34" s="74">
        <v>4.6438806920709057</v>
      </c>
      <c r="R34" s="74">
        <v>0.86</v>
      </c>
      <c r="S34" s="93">
        <v>37.875</v>
      </c>
      <c r="T34" s="88">
        <v>18.841999999999999</v>
      </c>
      <c r="U34" s="94"/>
      <c r="V34" s="95">
        <v>0.27300000000000002</v>
      </c>
      <c r="W34" s="75">
        <v>0.58048508650886321</v>
      </c>
      <c r="X34" s="75">
        <v>0.1075</v>
      </c>
      <c r="Y34" s="93">
        <v>4.7300000000000004</v>
      </c>
    </row>
    <row r="35" spans="1:25" x14ac:dyDescent="0.25">
      <c r="A35" s="9">
        <v>1992</v>
      </c>
      <c r="B35" s="87">
        <v>1170.4860000000001</v>
      </c>
      <c r="C35" s="88">
        <f t="shared" si="0"/>
        <v>211.10700000000003</v>
      </c>
      <c r="D35" s="88">
        <v>266.60700000000003</v>
      </c>
      <c r="E35" s="88">
        <v>55.5</v>
      </c>
      <c r="F35" s="88">
        <v>157.81200000000001</v>
      </c>
      <c r="G35" s="88">
        <v>102.31200000000001</v>
      </c>
      <c r="H35" s="88">
        <v>3.2029999999999998</v>
      </c>
      <c r="I35" s="88">
        <v>105.6</v>
      </c>
      <c r="J35" s="90">
        <v>5.7939999999999996</v>
      </c>
      <c r="K35" s="90"/>
      <c r="L35" s="88">
        <v>37.328000000000003</v>
      </c>
      <c r="M35" s="91">
        <v>62.47</v>
      </c>
      <c r="N35" s="88">
        <f>'Cash Flow'!C35+'Cash Flow'!D35</f>
        <v>38.200000000000003</v>
      </c>
      <c r="O35" s="88">
        <f t="shared" si="1"/>
        <v>143.80000000000001</v>
      </c>
      <c r="P35" s="92">
        <v>1.63</v>
      </c>
      <c r="Q35" s="74">
        <v>2.5150723212668513</v>
      </c>
      <c r="R35" s="74">
        <v>0.46</v>
      </c>
      <c r="S35" s="93">
        <v>34</v>
      </c>
      <c r="T35" s="88">
        <v>38.646999999999998</v>
      </c>
      <c r="U35" s="97" t="s">
        <v>47</v>
      </c>
      <c r="V35" s="95">
        <v>0.40799999999999997</v>
      </c>
      <c r="W35" s="75">
        <v>0.62876808031671283</v>
      </c>
      <c r="X35" s="75">
        <v>0.115</v>
      </c>
      <c r="Y35" s="93">
        <v>8.5</v>
      </c>
    </row>
    <row r="36" spans="1:25" x14ac:dyDescent="0.25">
      <c r="A36" s="11">
        <v>1993</v>
      </c>
      <c r="B36" s="87">
        <v>1526.7</v>
      </c>
      <c r="C36" s="88">
        <f t="shared" si="0"/>
        <v>284.3</v>
      </c>
      <c r="D36" s="88">
        <v>349</v>
      </c>
      <c r="E36" s="88">
        <v>64.7</v>
      </c>
      <c r="F36" s="88">
        <v>192.4</v>
      </c>
      <c r="G36" s="88">
        <v>127.7</v>
      </c>
      <c r="H36" s="88">
        <v>5.4</v>
      </c>
      <c r="I36" s="88">
        <v>151.19999999999999</v>
      </c>
      <c r="J36" s="90">
        <v>10.199999999999999</v>
      </c>
      <c r="K36" s="90"/>
      <c r="L36" s="88">
        <v>55.1</v>
      </c>
      <c r="M36" s="91">
        <v>85.9</v>
      </c>
      <c r="N36" s="88">
        <f>'Cash Flow'!C36+'Cash Flow'!D36</f>
        <v>45.300000000000004</v>
      </c>
      <c r="O36" s="88">
        <f t="shared" si="1"/>
        <v>196.5</v>
      </c>
      <c r="P36" s="92">
        <v>2.09</v>
      </c>
      <c r="Q36" s="74">
        <v>3.5450121654501214</v>
      </c>
      <c r="R36" s="74">
        <v>0.54</v>
      </c>
      <c r="S36" s="93">
        <v>50</v>
      </c>
      <c r="T36" s="88">
        <v>41.1</v>
      </c>
      <c r="U36" s="94"/>
      <c r="V36" s="95">
        <v>0.52300000000000002</v>
      </c>
      <c r="W36" s="75">
        <v>0.88625304136253036</v>
      </c>
      <c r="X36" s="75">
        <v>0.13500000000000001</v>
      </c>
      <c r="Y36" s="93">
        <v>12.5</v>
      </c>
    </row>
    <row r="37" spans="1:25" x14ac:dyDescent="0.25">
      <c r="A37" s="9">
        <v>1994</v>
      </c>
      <c r="B37" s="87">
        <v>1858.1</v>
      </c>
      <c r="C37" s="88">
        <f t="shared" si="0"/>
        <v>350</v>
      </c>
      <c r="D37" s="88">
        <v>429</v>
      </c>
      <c r="E37" s="88">
        <v>79</v>
      </c>
      <c r="F37" s="88">
        <v>227</v>
      </c>
      <c r="G37" s="88">
        <v>148</v>
      </c>
      <c r="H37" s="88">
        <v>2.7</v>
      </c>
      <c r="I37" s="88">
        <v>199.3</v>
      </c>
      <c r="J37" s="90">
        <v>9.8000000000000007</v>
      </c>
      <c r="K37" s="90"/>
      <c r="L37" s="88">
        <v>74.099999999999994</v>
      </c>
      <c r="M37" s="91">
        <v>115.4</v>
      </c>
      <c r="N37" s="88">
        <f>'Cash Flow'!C37+'Cash Flow'!D37</f>
        <v>56.9</v>
      </c>
      <c r="O37" s="88">
        <f t="shared" si="1"/>
        <v>256.2</v>
      </c>
      <c r="P37" s="92">
        <v>2.78</v>
      </c>
      <c r="Q37" s="74">
        <v>4.1586538461538458</v>
      </c>
      <c r="R37" s="74">
        <v>0.62</v>
      </c>
      <c r="S37" s="93">
        <v>35</v>
      </c>
      <c r="T37" s="88">
        <v>41.6</v>
      </c>
      <c r="U37" s="94"/>
      <c r="V37" s="95">
        <v>0.69499999999999995</v>
      </c>
      <c r="W37" s="75">
        <v>1.0396634615384615</v>
      </c>
      <c r="X37" s="75">
        <v>0.155</v>
      </c>
      <c r="Y37" s="93">
        <v>8.75</v>
      </c>
    </row>
    <row r="38" spans="1:25" x14ac:dyDescent="0.25">
      <c r="A38" s="10">
        <v>1995</v>
      </c>
      <c r="B38" s="98">
        <v>2059.3000000000002</v>
      </c>
      <c r="C38" s="99">
        <f t="shared" si="0"/>
        <v>405.6</v>
      </c>
      <c r="D38" s="99">
        <v>491</v>
      </c>
      <c r="E38" s="99">
        <v>85.4</v>
      </c>
      <c r="F38" s="99">
        <v>254.8</v>
      </c>
      <c r="G38" s="99">
        <v>169.4</v>
      </c>
      <c r="H38" s="99">
        <v>4</v>
      </c>
      <c r="I38" s="99">
        <v>232.2</v>
      </c>
      <c r="J38" s="100">
        <v>11.5</v>
      </c>
      <c r="K38" s="100"/>
      <c r="L38" s="99">
        <v>85.8</v>
      </c>
      <c r="M38" s="101">
        <v>134.9</v>
      </c>
      <c r="N38" s="99">
        <f>'Cash Flow'!C38+'Cash Flow'!D38</f>
        <v>67.099999999999994</v>
      </c>
      <c r="O38" s="99">
        <f t="shared" si="1"/>
        <v>299.29999999999995</v>
      </c>
      <c r="P38" s="102">
        <v>1.59</v>
      </c>
      <c r="Q38" s="103">
        <v>2.3905882352941177</v>
      </c>
      <c r="R38" s="103">
        <v>0.38</v>
      </c>
      <c r="S38" s="104">
        <v>24.25</v>
      </c>
      <c r="T38" s="99">
        <v>85</v>
      </c>
      <c r="U38" s="109" t="s">
        <v>47</v>
      </c>
      <c r="V38" s="106">
        <v>0.79500000000000004</v>
      </c>
      <c r="W38" s="107">
        <v>1.1952941176470588</v>
      </c>
      <c r="X38" s="107">
        <v>0.19</v>
      </c>
      <c r="Y38" s="104">
        <v>12.13</v>
      </c>
    </row>
    <row r="39" spans="1:25" x14ac:dyDescent="0.25">
      <c r="A39" s="11">
        <v>1996</v>
      </c>
      <c r="B39" s="87">
        <v>2466.1999999999998</v>
      </c>
      <c r="C39" s="88">
        <f t="shared" si="0"/>
        <v>522</v>
      </c>
      <c r="D39" s="88">
        <v>623.5</v>
      </c>
      <c r="E39" s="88">
        <v>101.5</v>
      </c>
      <c r="F39" s="88">
        <v>303.5</v>
      </c>
      <c r="G39" s="88">
        <v>202</v>
      </c>
      <c r="H39" s="88">
        <v>13.7</v>
      </c>
      <c r="I39" s="88">
        <v>306.3</v>
      </c>
      <c r="J39" s="90">
        <v>30</v>
      </c>
      <c r="K39" s="90"/>
      <c r="L39" s="88">
        <v>106.9</v>
      </c>
      <c r="M39" s="91">
        <v>169.4</v>
      </c>
      <c r="N39" s="88">
        <f>'Cash Flow'!C39+'Cash Flow'!D39</f>
        <v>92.199999999999989</v>
      </c>
      <c r="O39" s="88">
        <f t="shared" si="1"/>
        <v>398.5</v>
      </c>
      <c r="P39" s="92">
        <v>1.85</v>
      </c>
      <c r="Q39" s="74">
        <v>2.5924199621911717</v>
      </c>
      <c r="R39" s="74">
        <v>0.46</v>
      </c>
      <c r="S39" s="93">
        <v>34.625</v>
      </c>
      <c r="T39" s="88">
        <v>91.844686999999993</v>
      </c>
      <c r="U39" s="94"/>
      <c r="V39" s="95">
        <v>0.92500000000000004</v>
      </c>
      <c r="W39" s="75">
        <v>1.2962099810955858</v>
      </c>
      <c r="X39" s="75">
        <v>0.23</v>
      </c>
      <c r="Y39" s="93">
        <v>17.309999999999999</v>
      </c>
    </row>
    <row r="40" spans="1:25" x14ac:dyDescent="0.25">
      <c r="A40" s="9">
        <v>1997</v>
      </c>
      <c r="B40" s="87">
        <v>2909.2</v>
      </c>
      <c r="C40" s="88">
        <f t="shared" si="0"/>
        <v>621.29999999999995</v>
      </c>
      <c r="D40" s="88">
        <v>737.8</v>
      </c>
      <c r="E40" s="88">
        <v>116.5</v>
      </c>
      <c r="F40" s="88">
        <v>358.8</v>
      </c>
      <c r="G40" s="88">
        <v>242.3</v>
      </c>
      <c r="H40" s="88">
        <v>13.9</v>
      </c>
      <c r="I40" s="88">
        <v>365.1</v>
      </c>
      <c r="J40" s="90">
        <v>31.8</v>
      </c>
      <c r="K40" s="90"/>
      <c r="L40" s="88">
        <v>125</v>
      </c>
      <c r="M40" s="91">
        <v>208.3</v>
      </c>
      <c r="N40" s="88">
        <f>'Cash Flow'!C40+'Cash Flow'!D40</f>
        <v>105.6</v>
      </c>
      <c r="O40" s="88">
        <f t="shared" si="1"/>
        <v>470.70000000000005</v>
      </c>
      <c r="P40" s="92">
        <v>2.16</v>
      </c>
      <c r="Q40" s="74">
        <v>2.9846323423663792</v>
      </c>
      <c r="R40" s="74">
        <v>0.54</v>
      </c>
      <c r="S40" s="93">
        <v>41.875</v>
      </c>
      <c r="T40" s="88">
        <v>96.594812000000005</v>
      </c>
      <c r="U40" s="94"/>
      <c r="V40" s="95">
        <v>1.08</v>
      </c>
      <c r="W40" s="75">
        <v>1.4923161711831896</v>
      </c>
      <c r="X40" s="75">
        <v>0.27</v>
      </c>
      <c r="Y40" s="93">
        <v>20.94</v>
      </c>
    </row>
    <row r="41" spans="1:25" x14ac:dyDescent="0.25">
      <c r="A41" s="9">
        <v>1998</v>
      </c>
      <c r="B41" s="87">
        <v>3370.4</v>
      </c>
      <c r="C41" s="88">
        <f t="shared" si="0"/>
        <v>737.2</v>
      </c>
      <c r="D41" s="88">
        <v>871.5</v>
      </c>
      <c r="E41" s="88">
        <v>134.30000000000001</v>
      </c>
      <c r="F41" s="88">
        <v>422.8</v>
      </c>
      <c r="G41" s="88">
        <v>288.5</v>
      </c>
      <c r="H41" s="88">
        <v>19.600000000000001</v>
      </c>
      <c r="I41" s="88">
        <v>429.1</v>
      </c>
      <c r="J41" s="90">
        <v>33.5</v>
      </c>
      <c r="K41" s="90"/>
      <c r="L41" s="88">
        <v>147.6</v>
      </c>
      <c r="M41" s="91">
        <v>248</v>
      </c>
      <c r="N41" s="88">
        <f>'Cash Flow'!C41+'Cash Flow'!D41</f>
        <v>127.89999999999999</v>
      </c>
      <c r="O41" s="88">
        <f t="shared" si="1"/>
        <v>557</v>
      </c>
      <c r="P41" s="92">
        <v>1.24</v>
      </c>
      <c r="Q41" s="74">
        <v>1.7685763039987423</v>
      </c>
      <c r="R41" s="74">
        <v>0.315</v>
      </c>
      <c r="S41" s="93">
        <v>22</v>
      </c>
      <c r="T41" s="88">
        <v>200.669883</v>
      </c>
      <c r="U41" s="97" t="s">
        <v>47</v>
      </c>
      <c r="V41" s="95">
        <v>1.24</v>
      </c>
      <c r="W41" s="75">
        <v>1.7685763039987423</v>
      </c>
      <c r="X41" s="75">
        <v>0.315</v>
      </c>
      <c r="Y41" s="93">
        <v>22</v>
      </c>
    </row>
    <row r="42" spans="1:25" x14ac:dyDescent="0.25">
      <c r="A42" s="9">
        <v>1999</v>
      </c>
      <c r="B42" s="87">
        <v>3779</v>
      </c>
      <c r="C42" s="88">
        <f t="shared" si="0"/>
        <v>869.59999999999991</v>
      </c>
      <c r="D42" s="88">
        <v>1020.3</v>
      </c>
      <c r="E42" s="88">
        <v>150.69999999999999</v>
      </c>
      <c r="F42" s="88">
        <v>491.2</v>
      </c>
      <c r="G42" s="88">
        <v>340.5</v>
      </c>
      <c r="H42" s="88">
        <v>26.6</v>
      </c>
      <c r="I42" s="88">
        <v>502.5</v>
      </c>
      <c r="J42" s="90">
        <v>39.9</v>
      </c>
      <c r="K42" s="90"/>
      <c r="L42" s="88">
        <v>172.1</v>
      </c>
      <c r="M42" s="91">
        <v>290.5</v>
      </c>
      <c r="N42" s="88">
        <f>'Cash Flow'!C42+'Cash Flow'!D42</f>
        <v>149.30000000000001</v>
      </c>
      <c r="O42" s="88">
        <f t="shared" si="1"/>
        <v>651.79999999999995</v>
      </c>
      <c r="P42" s="92">
        <v>1.45</v>
      </c>
      <c r="Q42" s="74">
        <v>1.8453452936658015</v>
      </c>
      <c r="R42" s="74">
        <v>0.36</v>
      </c>
      <c r="S42" s="93">
        <v>21.437999999999999</v>
      </c>
      <c r="T42" s="88">
        <v>200.93800400000001</v>
      </c>
      <c r="U42" s="94"/>
      <c r="V42" s="95">
        <v>1.45</v>
      </c>
      <c r="W42" s="75">
        <v>1.8453452936658015</v>
      </c>
      <c r="X42" s="75">
        <v>0.36</v>
      </c>
      <c r="Y42" s="93">
        <v>21.44</v>
      </c>
    </row>
    <row r="43" spans="1:25" x14ac:dyDescent="0.25">
      <c r="A43" s="10">
        <v>2000</v>
      </c>
      <c r="B43" s="98">
        <v>4276.3</v>
      </c>
      <c r="C43" s="99">
        <f t="shared" si="0"/>
        <v>912.3</v>
      </c>
      <c r="D43" s="99">
        <v>1087.8</v>
      </c>
      <c r="E43" s="99">
        <v>175.5</v>
      </c>
      <c r="F43" s="99">
        <f>175.5+391.6</f>
        <v>567.1</v>
      </c>
      <c r="G43" s="99">
        <v>391.6</v>
      </c>
      <c r="H43" s="99">
        <v>39.9</v>
      </c>
      <c r="I43" s="99">
        <v>480.8</v>
      </c>
      <c r="J43" s="100">
        <v>62.2</v>
      </c>
      <c r="K43" s="100"/>
      <c r="L43" s="99">
        <v>154.5</v>
      </c>
      <c r="M43" s="101">
        <v>264.10000000000002</v>
      </c>
      <c r="N43" s="99">
        <f>'Cash Flow'!C43+'Cash Flow'!D43</f>
        <v>173.29999999999998</v>
      </c>
      <c r="O43" s="99">
        <f t="shared" si="1"/>
        <v>654.1</v>
      </c>
      <c r="P43" s="102">
        <v>1.32</v>
      </c>
      <c r="Q43" s="103">
        <v>2.1997310369698289</v>
      </c>
      <c r="R43" s="103">
        <v>0.42</v>
      </c>
      <c r="S43" s="104">
        <v>18.928000000000001</v>
      </c>
      <c r="T43" s="99">
        <v>200.38813500000001</v>
      </c>
      <c r="U43" s="109"/>
      <c r="V43" s="106">
        <v>1.32</v>
      </c>
      <c r="W43" s="107">
        <v>2.1997310369698289</v>
      </c>
      <c r="X43" s="107">
        <v>0.42</v>
      </c>
      <c r="Y43" s="104">
        <v>18.940000000000001</v>
      </c>
    </row>
    <row r="44" spans="1:25" x14ac:dyDescent="0.25">
      <c r="A44" s="269">
        <v>2001</v>
      </c>
      <c r="B44" s="89">
        <v>4113.8</v>
      </c>
      <c r="C44" s="270">
        <f t="shared" si="0"/>
        <v>816.9</v>
      </c>
      <c r="D44" s="270">
        <v>992</v>
      </c>
      <c r="E44" s="270">
        <v>175.1</v>
      </c>
      <c r="F44" s="270">
        <f>175.1+415.2</f>
        <v>590.29999999999995</v>
      </c>
      <c r="G44" s="270">
        <v>415.2</v>
      </c>
      <c r="H44" s="270">
        <f>39.9+10.6</f>
        <v>50.5</v>
      </c>
      <c r="I44" s="270">
        <v>351.2</v>
      </c>
      <c r="J44" s="271">
        <f>58.8-4.9</f>
        <v>53.9</v>
      </c>
      <c r="K44" s="271"/>
      <c r="L44" s="270">
        <v>109.7</v>
      </c>
      <c r="M44" s="272">
        <v>187.6</v>
      </c>
      <c r="N44" s="270">
        <f>'Cash Flow'!C44+'Cash Flow'!D44</f>
        <v>196.6</v>
      </c>
      <c r="O44" s="270">
        <f t="shared" si="1"/>
        <v>547.79999999999995</v>
      </c>
      <c r="P44" s="273">
        <v>0.94</v>
      </c>
      <c r="Q44" s="274">
        <f>+'Cash Flow'!O44/T44</f>
        <v>2.6667014576828776</v>
      </c>
      <c r="R44" s="274">
        <v>0.48</v>
      </c>
      <c r="S44" s="275">
        <v>23</v>
      </c>
      <c r="T44" s="270">
        <v>200.43488500000001</v>
      </c>
      <c r="U44" s="276"/>
      <c r="V44" s="277">
        <v>0.94</v>
      </c>
      <c r="W44" s="278">
        <v>2.6667014576828776</v>
      </c>
      <c r="X44" s="278">
        <v>0.48</v>
      </c>
      <c r="Y44" s="275">
        <v>23</v>
      </c>
    </row>
    <row r="45" spans="1:25" x14ac:dyDescent="0.25">
      <c r="A45" s="9">
        <v>2002</v>
      </c>
      <c r="B45" s="87">
        <v>4271.8</v>
      </c>
      <c r="C45" s="88">
        <f t="shared" si="0"/>
        <v>821.7</v>
      </c>
      <c r="D45" s="88">
        <v>821.7</v>
      </c>
      <c r="E45" s="88">
        <v>0</v>
      </c>
      <c r="F45" s="88">
        <v>394.2</v>
      </c>
      <c r="G45" s="88">
        <v>394.2</v>
      </c>
      <c r="H45" s="88">
        <v>26.9</v>
      </c>
      <c r="I45" s="88">
        <v>400.6</v>
      </c>
      <c r="J45" s="90">
        <v>42.1</v>
      </c>
      <c r="K45" s="90">
        <v>5</v>
      </c>
      <c r="L45" s="88">
        <v>130.4</v>
      </c>
      <c r="M45" s="91">
        <v>233.1</v>
      </c>
      <c r="N45" s="88">
        <f>'Cash Flow'!C45+'Cash Flow'!D45</f>
        <v>164.6</v>
      </c>
      <c r="O45" s="88">
        <f t="shared" si="1"/>
        <v>565.20000000000005</v>
      </c>
      <c r="P45" s="92">
        <v>1.17</v>
      </c>
      <c r="Q45" s="74">
        <f>+'Cash Flow'!O45/T45</f>
        <v>2.2817817817817816</v>
      </c>
      <c r="R45" s="74">
        <v>0.5</v>
      </c>
      <c r="S45" s="93">
        <v>22.44</v>
      </c>
      <c r="T45" s="88">
        <v>199.8</v>
      </c>
      <c r="U45" s="94"/>
      <c r="V45" s="95">
        <v>1.17</v>
      </c>
      <c r="W45" s="75">
        <v>2.282</v>
      </c>
      <c r="X45" s="75">
        <v>0.5</v>
      </c>
      <c r="Y45" s="93">
        <v>22.44</v>
      </c>
    </row>
    <row r="46" spans="1:25" x14ac:dyDescent="0.25">
      <c r="A46" s="9">
        <v>2003</v>
      </c>
      <c r="B46" s="87">
        <v>4388.2</v>
      </c>
      <c r="C46" s="88">
        <v>771.7</v>
      </c>
      <c r="D46" s="88"/>
      <c r="E46" s="88"/>
      <c r="F46" s="88"/>
      <c r="G46" s="88">
        <v>409.9</v>
      </c>
      <c r="H46" s="88">
        <v>6.5</v>
      </c>
      <c r="I46" s="88">
        <v>355.3</v>
      </c>
      <c r="J46" s="90">
        <v>46.9</v>
      </c>
      <c r="K46" s="90">
        <v>6.7</v>
      </c>
      <c r="L46" s="88">
        <v>109.2</v>
      </c>
      <c r="M46" s="91">
        <v>205.9</v>
      </c>
      <c r="N46" s="88">
        <f>'Cash Flow'!C46+'Cash Flow'!D46</f>
        <v>167</v>
      </c>
      <c r="O46" s="88">
        <f t="shared" si="1"/>
        <v>522.29999999999995</v>
      </c>
      <c r="P46" s="92">
        <v>1.05</v>
      </c>
      <c r="Q46" s="74">
        <f>+'Cash Flow'!O46/T46</f>
        <v>2.0065989847715735</v>
      </c>
      <c r="R46" s="74">
        <v>0.54</v>
      </c>
      <c r="S46" s="93">
        <v>21.63</v>
      </c>
      <c r="T46" s="88">
        <v>197</v>
      </c>
      <c r="U46" s="94"/>
      <c r="V46" s="95">
        <v>1.05</v>
      </c>
      <c r="W46" s="75">
        <v>2.0065989847715735</v>
      </c>
      <c r="X46" s="75">
        <v>0.54</v>
      </c>
      <c r="Y46" s="93">
        <v>21.63</v>
      </c>
    </row>
    <row r="47" spans="1:25" x14ac:dyDescent="0.25">
      <c r="A47" s="9">
        <v>2004</v>
      </c>
      <c r="B47" s="87">
        <v>5085.5</v>
      </c>
      <c r="C47" s="88">
        <v>915.8</v>
      </c>
      <c r="D47" s="88"/>
      <c r="E47" s="88"/>
      <c r="F47" s="88"/>
      <c r="G47" s="88">
        <v>460.2</v>
      </c>
      <c r="H47" s="88">
        <v>-6.1</v>
      </c>
      <c r="I47" s="88">
        <v>461.7</v>
      </c>
      <c r="J47" s="90">
        <v>45.9</v>
      </c>
      <c r="K47" s="90">
        <v>6.8</v>
      </c>
      <c r="L47" s="88">
        <v>137.19999999999999</v>
      </c>
      <c r="M47" s="91">
        <v>285.39999999999998</v>
      </c>
      <c r="N47" s="88">
        <f>'Cash Flow'!C47+'Cash Flow'!D47</f>
        <v>177.2</v>
      </c>
      <c r="O47" s="88">
        <f t="shared" si="1"/>
        <v>638.9</v>
      </c>
      <c r="P47" s="92">
        <v>1.45</v>
      </c>
      <c r="Q47" s="74">
        <f>+'Cash Flow'!O47/T47</f>
        <v>1.7394616556627727</v>
      </c>
      <c r="R47" s="74">
        <v>0.57999999999999996</v>
      </c>
      <c r="S47" s="93">
        <v>28.43</v>
      </c>
      <c r="T47" s="88">
        <v>196.9</v>
      </c>
      <c r="U47" s="94"/>
      <c r="V47" s="95">
        <v>1.45</v>
      </c>
      <c r="W47" s="75">
        <f>+Q47</f>
        <v>1.7394616556627727</v>
      </c>
      <c r="X47" s="75">
        <v>0.57999999999999996</v>
      </c>
      <c r="Y47" s="93">
        <v>28.43</v>
      </c>
    </row>
    <row r="48" spans="1:25" x14ac:dyDescent="0.25">
      <c r="A48" s="10">
        <v>2005</v>
      </c>
      <c r="B48" s="98">
        <f>5299.3</f>
        <v>5299.3</v>
      </c>
      <c r="C48" s="99">
        <v>912.8</v>
      </c>
      <c r="D48" s="99"/>
      <c r="E48" s="99"/>
      <c r="F48" s="99"/>
      <c r="G48" s="99">
        <v>468.8</v>
      </c>
      <c r="H48" s="99">
        <f>3+44+0.8</f>
        <v>47.8</v>
      </c>
      <c r="I48" s="99">
        <f>C48-G48-H48</f>
        <v>396.19999999999993</v>
      </c>
      <c r="J48" s="100">
        <v>46.7</v>
      </c>
      <c r="K48" s="100">
        <v>6.7</v>
      </c>
      <c r="L48" s="99">
        <v>104.9</v>
      </c>
      <c r="M48" s="101">
        <f>I48-J48+K48-L48</f>
        <v>251.29999999999993</v>
      </c>
      <c r="N48" s="99">
        <f>'Cash Flow'!C48+'Cash Flow'!D48</f>
        <v>171.10000000000002</v>
      </c>
      <c r="O48" s="99">
        <f t="shared" si="1"/>
        <v>567.29999999999995</v>
      </c>
      <c r="P48" s="102">
        <f>M48/T48</f>
        <v>1.2982048301691849</v>
      </c>
      <c r="Q48" s="74">
        <f>+'Cash Flow'!O48/T48</f>
        <v>2.3158982306599514</v>
      </c>
      <c r="R48" s="103">
        <v>0.63</v>
      </c>
      <c r="S48" s="104">
        <v>22.96</v>
      </c>
      <c r="T48" s="99">
        <v>193.57499999999999</v>
      </c>
      <c r="U48" s="109"/>
      <c r="V48" s="106">
        <f>P48</f>
        <v>1.2982048301691849</v>
      </c>
      <c r="W48" s="107">
        <f>+Q48</f>
        <v>2.3158982306599514</v>
      </c>
      <c r="X48" s="107">
        <v>0.63</v>
      </c>
      <c r="Y48" s="104">
        <f>S48</f>
        <v>22.96</v>
      </c>
    </row>
    <row r="49" spans="1:25" ht="13" thickBot="1" x14ac:dyDescent="0.3">
      <c r="A49" s="258">
        <v>2006</v>
      </c>
      <c r="B49" s="259">
        <v>5505.4</v>
      </c>
      <c r="C49" s="260">
        <v>998.4</v>
      </c>
      <c r="D49" s="260"/>
      <c r="E49" s="260"/>
      <c r="F49" s="260"/>
      <c r="G49" s="260">
        <v>489.5</v>
      </c>
      <c r="H49" s="260">
        <f>18.8+8.1</f>
        <v>26.9</v>
      </c>
      <c r="I49" s="260">
        <f>C49-G49-H49</f>
        <v>482</v>
      </c>
      <c r="J49" s="261">
        <v>56.2</v>
      </c>
      <c r="K49" s="261">
        <v>9</v>
      </c>
      <c r="L49" s="260">
        <v>134.5</v>
      </c>
      <c r="M49" s="262">
        <f>I49-J49+K49-L49</f>
        <v>300.3</v>
      </c>
      <c r="N49" s="260">
        <f>'Cash Flow'!C49+'Cash Flow'!D49</f>
        <v>175.4</v>
      </c>
      <c r="O49" s="260">
        <f t="shared" si="1"/>
        <v>657.4</v>
      </c>
      <c r="P49" s="263">
        <f>M49/T49</f>
        <v>1.6076017130620985</v>
      </c>
      <c r="Q49" s="264">
        <f>+'Cash Flow'!O49/T49</f>
        <v>2.5637044967880085</v>
      </c>
      <c r="R49" s="264">
        <v>0.67</v>
      </c>
      <c r="S49" s="265">
        <v>23.9</v>
      </c>
      <c r="T49" s="260">
        <v>186.8</v>
      </c>
      <c r="U49" s="266"/>
      <c r="V49" s="267">
        <f>+P49</f>
        <v>1.6076017130620985</v>
      </c>
      <c r="W49" s="268">
        <f>+Q49</f>
        <v>2.5637044967880085</v>
      </c>
      <c r="X49" s="268">
        <f>+R49</f>
        <v>0.67</v>
      </c>
      <c r="Y49" s="265">
        <f>+S49</f>
        <v>23.9</v>
      </c>
    </row>
    <row r="50" spans="1:25" ht="13" thickTop="1" x14ac:dyDescent="0.25">
      <c r="A50" s="1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215"/>
      <c r="Q50" s="215"/>
      <c r="R50" s="215"/>
      <c r="S50" s="215"/>
      <c r="T50" s="90"/>
      <c r="U50" s="216"/>
      <c r="V50" s="217"/>
      <c r="W50" s="217"/>
      <c r="X50" s="217"/>
      <c r="Y50" s="215"/>
    </row>
    <row r="51" spans="1:25" ht="17.5" x14ac:dyDescent="0.35">
      <c r="A51" s="359" t="s">
        <v>200</v>
      </c>
    </row>
    <row r="52" spans="1:25" ht="14.5" x14ac:dyDescent="0.25">
      <c r="A52" s="26" t="s">
        <v>259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</row>
    <row r="53" spans="1:25" ht="14.5" x14ac:dyDescent="0.25">
      <c r="A53" s="26" t="s">
        <v>262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5"/>
      <c r="T53" s="27"/>
      <c r="U53" s="27"/>
      <c r="V53" s="27"/>
      <c r="W53" s="27"/>
      <c r="X53" s="27"/>
      <c r="Y53" s="27"/>
    </row>
    <row r="54" spans="1:25" ht="14.5" x14ac:dyDescent="0.25">
      <c r="A54" s="26" t="s">
        <v>263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x14ac:dyDescent="0.25">
      <c r="A55" s="28" t="s">
        <v>19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1:25" ht="14.5" x14ac:dyDescent="0.25">
      <c r="A56" s="26" t="s">
        <v>267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</row>
    <row r="57" spans="1:25" ht="14.25" customHeight="1" x14ac:dyDescent="0.25">
      <c r="A57" s="526" t="s">
        <v>272</v>
      </c>
      <c r="B57" s="526"/>
      <c r="C57" s="526"/>
      <c r="D57" s="526"/>
      <c r="E57" s="526"/>
      <c r="F57" s="526"/>
      <c r="G57" s="526"/>
      <c r="H57" s="526"/>
      <c r="I57" s="526"/>
      <c r="J57" s="526"/>
      <c r="K57" s="526"/>
      <c r="L57" s="526"/>
      <c r="M57" s="526"/>
      <c r="N57" s="526"/>
      <c r="O57" s="526"/>
      <c r="P57" s="526"/>
      <c r="Q57" s="526"/>
      <c r="R57" s="526"/>
      <c r="S57" s="526"/>
      <c r="T57" s="526"/>
      <c r="U57" s="526"/>
      <c r="V57" s="526"/>
      <c r="W57" s="526"/>
      <c r="X57" s="526"/>
    </row>
    <row r="58" spans="1:25" ht="15" x14ac:dyDescent="0.3">
      <c r="A58" s="26" t="s">
        <v>271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70"/>
      <c r="U58" s="70"/>
      <c r="V58" s="70"/>
      <c r="W58" s="70"/>
      <c r="X58" s="70"/>
      <c r="Y58" s="69"/>
    </row>
  </sheetData>
  <mergeCells count="30">
    <mergeCell ref="A57:X57"/>
    <mergeCell ref="B4:M4"/>
    <mergeCell ref="P4:S4"/>
    <mergeCell ref="L5:L8"/>
    <mergeCell ref="R6:R8"/>
    <mergeCell ref="S6:S8"/>
    <mergeCell ref="T4:U4"/>
    <mergeCell ref="V4:Y4"/>
    <mergeCell ref="N4:O4"/>
    <mergeCell ref="A5:A8"/>
    <mergeCell ref="V6:V8"/>
    <mergeCell ref="W6:W8"/>
    <mergeCell ref="I5:I8"/>
    <mergeCell ref="J5:J8"/>
    <mergeCell ref="B9:H9"/>
    <mergeCell ref="H10:H16"/>
    <mergeCell ref="B5:B8"/>
    <mergeCell ref="C5:C8"/>
    <mergeCell ref="G5:G8"/>
    <mergeCell ref="H5:H8"/>
    <mergeCell ref="X6:X8"/>
    <mergeCell ref="Y6:Y8"/>
    <mergeCell ref="M5:M8"/>
    <mergeCell ref="P5:S5"/>
    <mergeCell ref="N5:N8"/>
    <mergeCell ref="O5:O8"/>
    <mergeCell ref="T5:T8"/>
    <mergeCell ref="V5:Y5"/>
    <mergeCell ref="P6:P8"/>
    <mergeCell ref="Q6:Q8"/>
  </mergeCells>
  <phoneticPr fontId="0" type="noConversion"/>
  <printOptions horizontalCentered="1"/>
  <pageMargins left="0.55000000000000004" right="0.3" top="0.5" bottom="0.25" header="0.5" footer="0.5"/>
  <pageSetup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C89B-0F55-405E-8F9D-041234DF4F65}">
  <dimension ref="A1:AD61"/>
  <sheetViews>
    <sheetView zoomScaleNormal="100" zoomScaleSheetLayoutView="100" workbookViewId="0">
      <pane xSplit="1" ySplit="9" topLeftCell="B27" activePane="bottomRight" state="frozen"/>
      <selection activeCell="D44" sqref="D44"/>
      <selection pane="topRight" activeCell="D44" sqref="D44"/>
      <selection pane="bottomLeft" activeCell="D44" sqref="D44"/>
      <selection pane="bottomRight" activeCell="D44" sqref="D44"/>
    </sheetView>
  </sheetViews>
  <sheetFormatPr defaultRowHeight="12.5" x14ac:dyDescent="0.25"/>
  <cols>
    <col min="1" max="1" width="7.7265625" customWidth="1"/>
    <col min="3" max="3" width="10.453125" customWidth="1"/>
    <col min="4" max="4" width="8.1796875" customWidth="1"/>
    <col min="5" max="5" width="10.1796875" customWidth="1"/>
    <col min="6" max="6" width="12.54296875" customWidth="1"/>
    <col min="7" max="7" width="10" customWidth="1"/>
    <col min="8" max="8" width="11.453125" customWidth="1"/>
    <col min="9" max="10" width="9.7265625" customWidth="1"/>
    <col min="11" max="11" width="11.7265625" hidden="1" customWidth="1"/>
    <col min="12" max="12" width="11" hidden="1" customWidth="1"/>
    <col min="13" max="13" width="10.81640625" customWidth="1"/>
    <col min="15" max="16" width="9.7265625" customWidth="1"/>
    <col min="17" max="17" width="8.81640625" customWidth="1"/>
    <col min="18" max="18" width="9.7265625" bestFit="1" customWidth="1"/>
    <col min="22" max="22" width="9" customWidth="1"/>
  </cols>
  <sheetData>
    <row r="1" spans="1:23" s="220" customFormat="1" ht="30" x14ac:dyDescent="0.6">
      <c r="A1" s="420" t="s">
        <v>366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</row>
    <row r="2" spans="1:23" s="220" customFormat="1" ht="24" customHeight="1" x14ac:dyDescent="0.5">
      <c r="A2" s="426" t="s">
        <v>353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</row>
    <row r="3" spans="1:23" ht="6" customHeight="1" x14ac:dyDescent="0.25"/>
    <row r="4" spans="1:23" ht="13" x14ac:dyDescent="0.3">
      <c r="A4" s="518" t="s">
        <v>9</v>
      </c>
      <c r="B4" s="520" t="s">
        <v>48</v>
      </c>
      <c r="C4" s="525"/>
      <c r="D4" s="527" t="s">
        <v>20</v>
      </c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  <c r="Q4" s="527" t="s">
        <v>21</v>
      </c>
      <c r="R4" s="528"/>
      <c r="S4" s="528"/>
      <c r="T4" s="528"/>
      <c r="U4" s="528"/>
      <c r="V4" s="530"/>
      <c r="W4" s="233" t="s">
        <v>0</v>
      </c>
    </row>
    <row r="5" spans="1:23" ht="12.75" customHeight="1" x14ac:dyDescent="0.3">
      <c r="A5" s="518"/>
      <c r="B5" s="522" t="s">
        <v>22</v>
      </c>
      <c r="C5" s="514" t="s">
        <v>23</v>
      </c>
      <c r="D5" s="582" t="s">
        <v>24</v>
      </c>
      <c r="E5" s="583"/>
      <c r="F5" s="583"/>
      <c r="G5" s="583"/>
      <c r="H5" s="584"/>
      <c r="I5" s="586" t="s">
        <v>169</v>
      </c>
      <c r="J5" s="587"/>
      <c r="K5" s="517" t="s">
        <v>49</v>
      </c>
      <c r="L5" s="517" t="s">
        <v>127</v>
      </c>
      <c r="M5" s="78"/>
      <c r="N5" s="517" t="s">
        <v>50</v>
      </c>
      <c r="O5" s="517" t="s">
        <v>51</v>
      </c>
      <c r="P5" s="590" t="s">
        <v>179</v>
      </c>
      <c r="Q5" s="522" t="s">
        <v>103</v>
      </c>
      <c r="R5" s="517" t="s">
        <v>117</v>
      </c>
      <c r="S5" s="517" t="s">
        <v>134</v>
      </c>
      <c r="T5" s="517" t="s">
        <v>216</v>
      </c>
      <c r="U5" s="517" t="s">
        <v>229</v>
      </c>
      <c r="V5" s="514" t="s">
        <v>25</v>
      </c>
      <c r="W5" s="577" t="s">
        <v>52</v>
      </c>
    </row>
    <row r="6" spans="1:23" ht="12.75" customHeight="1" x14ac:dyDescent="0.3">
      <c r="A6" s="518"/>
      <c r="B6" s="523"/>
      <c r="C6" s="515"/>
      <c r="D6" s="523" t="s">
        <v>53</v>
      </c>
      <c r="E6" s="518" t="s">
        <v>26</v>
      </c>
      <c r="F6" s="518" t="s">
        <v>58</v>
      </c>
      <c r="G6" s="592" t="s">
        <v>27</v>
      </c>
      <c r="H6" s="514" t="s">
        <v>54</v>
      </c>
      <c r="I6" s="588"/>
      <c r="J6" s="589"/>
      <c r="K6" s="518"/>
      <c r="L6" s="518"/>
      <c r="M6" s="8" t="s">
        <v>219</v>
      </c>
      <c r="N6" s="518"/>
      <c r="O6" s="518"/>
      <c r="P6" s="594"/>
      <c r="Q6" s="523"/>
      <c r="R6" s="518"/>
      <c r="S6" s="518"/>
      <c r="T6" s="518" t="s">
        <v>214</v>
      </c>
      <c r="U6" s="518" t="s">
        <v>214</v>
      </c>
      <c r="V6" s="515"/>
      <c r="W6" s="578"/>
    </row>
    <row r="7" spans="1:23" ht="12.75" customHeight="1" x14ac:dyDescent="0.3">
      <c r="A7" s="518"/>
      <c r="B7" s="523"/>
      <c r="C7" s="515"/>
      <c r="D7" s="523"/>
      <c r="E7" s="518"/>
      <c r="F7" s="518"/>
      <c r="G7" s="592"/>
      <c r="H7" s="515"/>
      <c r="I7" s="590" t="s">
        <v>36</v>
      </c>
      <c r="J7" s="590" t="s">
        <v>171</v>
      </c>
      <c r="K7" s="518"/>
      <c r="L7" s="518"/>
      <c r="M7" s="8" t="s">
        <v>220</v>
      </c>
      <c r="N7" s="518"/>
      <c r="O7" s="518"/>
      <c r="P7" s="594"/>
      <c r="Q7" s="523"/>
      <c r="R7" s="518"/>
      <c r="S7" s="518"/>
      <c r="T7" s="518" t="s">
        <v>215</v>
      </c>
      <c r="U7" s="518" t="s">
        <v>215</v>
      </c>
      <c r="V7" s="515"/>
      <c r="W7" s="578"/>
    </row>
    <row r="8" spans="1:23" ht="13" x14ac:dyDescent="0.3">
      <c r="A8" s="585"/>
      <c r="B8" s="580"/>
      <c r="C8" s="581"/>
      <c r="D8" s="580"/>
      <c r="E8" s="29" t="s">
        <v>28</v>
      </c>
      <c r="F8" s="585"/>
      <c r="G8" s="593"/>
      <c r="H8" s="581"/>
      <c r="I8" s="591"/>
      <c r="J8" s="591"/>
      <c r="K8" s="585"/>
      <c r="L8" s="585"/>
      <c r="M8" s="29" t="s">
        <v>221</v>
      </c>
      <c r="N8" s="30" t="s">
        <v>29</v>
      </c>
      <c r="O8" s="585"/>
      <c r="P8" s="591"/>
      <c r="Q8" s="580"/>
      <c r="R8" s="585"/>
      <c r="S8" s="585"/>
      <c r="T8" s="585" t="s">
        <v>188</v>
      </c>
      <c r="U8" s="585" t="s">
        <v>188</v>
      </c>
      <c r="V8" s="581"/>
      <c r="W8" s="579"/>
    </row>
    <row r="9" spans="1:23" ht="12.75" hidden="1" customHeight="1" x14ac:dyDescent="0.3">
      <c r="A9" s="8"/>
      <c r="B9" s="31"/>
      <c r="C9" s="23"/>
      <c r="D9" s="31"/>
      <c r="E9" s="22"/>
      <c r="F9" s="32"/>
      <c r="G9" s="32"/>
      <c r="H9" s="33"/>
      <c r="I9" s="22"/>
      <c r="J9" s="22"/>
      <c r="K9" s="22"/>
      <c r="L9" s="22"/>
      <c r="M9" s="22"/>
      <c r="O9" s="22"/>
      <c r="P9" s="22"/>
      <c r="Q9" s="31"/>
      <c r="R9" s="22"/>
      <c r="S9" s="22"/>
      <c r="T9" s="22"/>
      <c r="U9" s="22"/>
      <c r="V9" s="23"/>
      <c r="W9" s="234"/>
    </row>
    <row r="10" spans="1:23" ht="6" customHeight="1" x14ac:dyDescent="0.35">
      <c r="A10" s="224"/>
      <c r="B10" s="183"/>
      <c r="C10" s="183"/>
      <c r="D10" s="184"/>
      <c r="E10" s="183"/>
      <c r="F10" s="184"/>
      <c r="G10" s="183"/>
      <c r="H10" s="184"/>
      <c r="I10" s="184"/>
      <c r="J10" s="184"/>
      <c r="K10" s="184"/>
      <c r="L10" s="184"/>
      <c r="M10" s="184"/>
      <c r="N10" s="183"/>
      <c r="O10" s="184"/>
      <c r="P10" s="185"/>
      <c r="Q10" s="185"/>
      <c r="R10" s="185"/>
      <c r="S10" s="185"/>
      <c r="T10" s="185"/>
      <c r="U10" s="185"/>
      <c r="V10" s="183"/>
      <c r="W10" s="184"/>
    </row>
    <row r="11" spans="1:23" ht="17.5" x14ac:dyDescent="0.35">
      <c r="A11" s="285" t="s">
        <v>198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</row>
    <row r="12" spans="1:23" ht="15.5" x14ac:dyDescent="0.35">
      <c r="A12" s="150">
        <v>2005</v>
      </c>
      <c r="B12" s="177">
        <f>+'Balance Sheet - Continuing Ops'!E10/'Balance Sheet - Continuing Ops'!L10</f>
        <v>2.1271941246939949</v>
      </c>
      <c r="C12" s="188" t="s">
        <v>146</v>
      </c>
      <c r="D12" s="189">
        <f>+'Income - Continuing Ops'!N42/'Income - Continuing Ops'!B42</f>
        <v>5.9350503919372903E-2</v>
      </c>
      <c r="E12" s="180" t="s">
        <v>146</v>
      </c>
      <c r="F12" s="181" t="s">
        <v>146</v>
      </c>
      <c r="G12" s="180" t="s">
        <v>146</v>
      </c>
      <c r="H12" s="190" t="s">
        <v>146</v>
      </c>
      <c r="I12" s="288">
        <f>(('Income - Continuing Ops'!Z42-'Income - Continuing Ops'!Z41)+'Income - Continuing Ops'!Y42)/'Income - Continuing Ops'!Z41</f>
        <v>-0.17024270137179032</v>
      </c>
      <c r="J12" s="386">
        <f>(('Income - Continuing Ops'!Z42+SUM('Income - Continuing Ops'!Y40:Y42))/'Income - Continuing Ops'!Z39)^(1/3)-1</f>
        <v>3.264242660415273E-2</v>
      </c>
      <c r="K12" s="181" t="s">
        <v>146</v>
      </c>
      <c r="L12" s="181" t="s">
        <v>146</v>
      </c>
      <c r="M12" s="181">
        <f>('Income - Continuing Ops'!F42*(1-'Ratios - Continuing Ops'!W12))/(('Balance Sheet - Continuing Ops'!Q10+'Balance Sheet - Continuing Ops'!P10+'Balance Sheet - Historical'!Q46+'Balance Sheet - Historical'!P46)/2)</f>
        <v>0.10046781053425317</v>
      </c>
      <c r="N12" s="180">
        <f>+'Income - Continuing Ops'!Z42/'Income - Continuing Ops'!W42</f>
        <v>17.842159775190684</v>
      </c>
      <c r="O12" s="181">
        <f>+'Income - Continuing Ops'!Y42/'Income - Continuing Ops'!Z42</f>
        <v>2.7439024390243903E-2</v>
      </c>
      <c r="P12" s="393">
        <f>+'Income - Continuing Ops'!Y42/'Income - Continuing Ops'!W42</f>
        <v>0.48957145724608581</v>
      </c>
      <c r="Q12" s="186">
        <f>('Balance Sheet - Continuing Ops'!L10+'Balance Sheet - Continuing Ops'!M10+'Balance Sheet - Continuing Ops'!N10+'Balance Sheet - Continuing Ops'!O10)/'Balance Sheet - Continuing Ops'!G10</f>
        <v>0.5236193471099132</v>
      </c>
      <c r="R12" s="187">
        <f>(+'Balance Sheet - Continuing Ops'!M10+'Balance Sheet - Continuing Ops'!I10)/('Balance Sheet - Continuing Ops'!R10+'Balance Sheet - Continuing Ops'!I10)</f>
        <v>0.36873192074052652</v>
      </c>
      <c r="S12" s="187">
        <f>('Balance Sheet - Continuing Ops'!M10+'Balance Sheet - Continuing Ops'!I10-'Balance Sheet - Continuing Ops'!B10)/('Balance Sheet - Continuing Ops'!R10+'Balance Sheet - Continuing Ops'!I10-'Balance Sheet - Continuing Ops'!B10)</f>
        <v>0.35356203947124826</v>
      </c>
      <c r="T12" s="180">
        <f>('Balance Sheet - Continuing Ops'!I10+'Balance Sheet - Continuing Ops'!M10)/'Income - Continuing Ops'!P42</f>
        <v>1.8776744614251519</v>
      </c>
      <c r="U12" s="180">
        <f>('Balance Sheet - Continuing Ops'!I10+'Balance Sheet - Continuing Ops'!M10-'Balance Sheet - Continuing Ops'!B10)/'Income - Continuing Ops'!P42</f>
        <v>1.7581752900018415</v>
      </c>
      <c r="V12" s="188">
        <f>+'Income - Continuing Ops'!F42/'Income - Continuing Ops'!G42</f>
        <v>8.9649890590809616</v>
      </c>
      <c r="W12" s="236">
        <f>+'Income - Continuing Ops'!I42/('Income - Continuing Ops'!I42+'Income - Continuing Ops'!J42)</f>
        <v>0.31975175391257421</v>
      </c>
    </row>
    <row r="13" spans="1:23" ht="15.5" x14ac:dyDescent="0.35">
      <c r="A13" s="150">
        <v>2006</v>
      </c>
      <c r="B13" s="177">
        <f>+'Balance Sheet - Continuing Ops'!E11/'Balance Sheet - Continuing Ops'!L11</f>
        <v>2.5165691534558516</v>
      </c>
      <c r="C13" s="188">
        <f>('Income - Continuing Ops'!B43-'Income - Continuing Ops'!C43)/(('Balance Sheet - Continuing Ops'!D11+'Balance Sheet - Continuing Ops'!D10)/2)</f>
        <v>5.5455418600928441</v>
      </c>
      <c r="D13" s="189">
        <f>+'Income - Continuing Ops'!N43/'Income - Continuing Ops'!B43</f>
        <v>5.6973446764630072E-2</v>
      </c>
      <c r="E13" s="180">
        <f>+'Income - Continuing Ops'!B43/'Balance Sheet - Continuing Ops'!U11</f>
        <v>1.2478505000877347</v>
      </c>
      <c r="F13" s="181">
        <f t="shared" ref="F13:F30" si="0">+D13*E13</f>
        <v>7.1094344036965559E-2</v>
      </c>
      <c r="G13" s="180">
        <f>+'Balance Sheet - Continuing Ops'!U11/'Balance Sheet - Continuing Ops'!V11</f>
        <v>2.1038771661585507</v>
      </c>
      <c r="H13" s="190">
        <f t="shared" ref="H13:H30" si="1">+F13*G13</f>
        <v>0.14957376706239217</v>
      </c>
      <c r="I13" s="288">
        <f>(('Income - Continuing Ops'!Z43-'Income - Continuing Ops'!Z42)+'Income - Continuing Ops'!Y43)/'Income - Continuing Ops'!Z42</f>
        <v>7.0121951219512091E-2</v>
      </c>
      <c r="J13" s="386">
        <f>(('Income - Continuing Ops'!Z43+SUM('Income - Continuing Ops'!Y41:Y43))/'Income - Continuing Ops'!Z40)^(1/3)-1</f>
        <v>6.0251261496232056E-2</v>
      </c>
      <c r="K13" s="181" t="e">
        <f>+('Income - Continuing Ops'!N43+'Income - Continuing Ops'!G43*(1-'Ratios - Continuing Ops'!W13))/'Balance Sheet - Historical'!#REF!</f>
        <v>#REF!</v>
      </c>
      <c r="L13" s="181" t="e">
        <f>+'Income - Continuing Ops'!F43/AVERAGE('Balance Sheet - Historical'!#REF!,'Balance Sheet - Historical'!#REF!)</f>
        <v>#REF!</v>
      </c>
      <c r="M13" s="181">
        <f>('Income - Continuing Ops'!F43*(1-'Ratios - Continuing Ops'!W13))/(('Balance Sheet - Continuing Ops'!Q11+'Balance Sheet - Continuing Ops'!P11+'Balance Sheet - Continuing Ops'!Q10+'Balance Sheet - Continuing Ops'!P10)/2)</f>
        <v>0.1075719351132972</v>
      </c>
      <c r="N13" s="180">
        <f>+'Income - Continuing Ops'!Z43/'Income - Continuing Ops'!W43</f>
        <v>18.364952694364458</v>
      </c>
      <c r="O13" s="181">
        <f>+'Income - Continuing Ops'!Y43/'Income - Continuing Ops'!Z43</f>
        <v>2.8033472803347285E-2</v>
      </c>
      <c r="P13" s="394">
        <f>+'Income - Continuing Ops'!Y43/'Income - Continuing Ops'!W43</f>
        <v>0.51483340189222548</v>
      </c>
      <c r="Q13" s="186">
        <f>('Balance Sheet - Continuing Ops'!L11+'Balance Sheet - Continuing Ops'!M11+'Balance Sheet - Continuing Ops'!N11+'Balance Sheet - Continuing Ops'!O11)/'Balance Sheet - Continuing Ops'!G11</f>
        <v>0.52570575461454949</v>
      </c>
      <c r="R13" s="187">
        <f>(+'Balance Sheet - Continuing Ops'!M11+'Balance Sheet - Continuing Ops'!I11)/('Balance Sheet - Continuing Ops'!R11+'Balance Sheet - Continuing Ops'!I11)</f>
        <v>0.37886942295238418</v>
      </c>
      <c r="S13" s="187">
        <f>('Balance Sheet - Continuing Ops'!M11+'Balance Sheet - Continuing Ops'!I11-'Balance Sheet - Continuing Ops'!B11)/('Balance Sheet - Continuing Ops'!R11+'Balance Sheet - Continuing Ops'!I11-'Balance Sheet - Continuing Ops'!B11)</f>
        <v>0.34963062098501069</v>
      </c>
      <c r="T13" s="180">
        <f>('Balance Sheet - Continuing Ops'!I11+'Balance Sheet - Continuing Ops'!M11)/'Income - Continuing Ops'!P43</f>
        <v>2.0272934524895123</v>
      </c>
      <c r="U13" s="180">
        <f>('Balance Sheet - Continuing Ops'!I11+'Balance Sheet - Continuing Ops'!M11-'Balance Sheet - Continuing Ops'!B11)/'Income - Continuing Ops'!P43</f>
        <v>1.786731716213751</v>
      </c>
      <c r="V13" s="188">
        <f>+'Income - Continuing Ops'!F43/'Income - Continuing Ops'!G43</f>
        <v>7.6180811808118083</v>
      </c>
      <c r="W13" s="236">
        <f>+'Income - Continuing Ops'!I43/('Income - Continuing Ops'!I43+'Income - Continuing Ops'!J43)</f>
        <v>0.32456861133935905</v>
      </c>
    </row>
    <row r="14" spans="1:23" ht="15.5" x14ac:dyDescent="0.35">
      <c r="A14" s="150">
        <v>2007</v>
      </c>
      <c r="B14" s="177">
        <f>+'Balance Sheet - Continuing Ops'!E12/'Balance Sheet - Continuing Ops'!L12</f>
        <v>2.1207353552139594</v>
      </c>
      <c r="C14" s="188">
        <f>('Income - Continuing Ops'!B44-'Income - Continuing Ops'!C44)/(('Balance Sheet - Continuing Ops'!D12+'Balance Sheet - Continuing Ops'!D11)/2)</f>
        <v>5.5708632803036418</v>
      </c>
      <c r="D14" s="189">
        <f>+'Income - Continuing Ops'!N44/'Income - Continuing Ops'!B44</f>
        <v>5.0917647058823526E-2</v>
      </c>
      <c r="E14" s="180">
        <f>+'Income - Continuing Ops'!B44/'Balance Sheet - Continuing Ops'!U12</f>
        <v>1.2150350437548416</v>
      </c>
      <c r="F14" s="181">
        <f t="shared" si="0"/>
        <v>6.1866725522011223E-2</v>
      </c>
      <c r="G14" s="180">
        <f>+'Balance Sheet - Continuing Ops'!U12/'Balance Sheet - Continuing Ops'!V12</f>
        <v>2.1234314093897804</v>
      </c>
      <c r="H14" s="190">
        <f t="shared" si="1"/>
        <v>0.13136974816953498</v>
      </c>
      <c r="I14" s="288">
        <f>(('Income - Continuing Ops'!Z44-'Income - Continuing Ops'!Z43)+'Income - Continuing Ops'!Y44)/'Income - Continuing Ops'!Z43</f>
        <v>-0.23765690376569026</v>
      </c>
      <c r="J14" s="386">
        <f>(('Income - Continuing Ops'!Z44+SUM('Income - Continuing Ops'!Y42:Y44))/'Income - Continuing Ops'!Z41)^(1/3)-1</f>
        <v>-0.1177987857226368</v>
      </c>
      <c r="K14" s="181" t="e">
        <f>+('Income - Continuing Ops'!N44+'Income - Continuing Ops'!G44*(1-'Ratios - Continuing Ops'!W14))/'Balance Sheet - Historical'!#REF!</f>
        <v>#REF!</v>
      </c>
      <c r="L14" s="181" t="e">
        <f>+'Income - Continuing Ops'!F44/AVERAGE('Balance Sheet - Historical'!#REF!,'Balance Sheet - Historical'!#REF!)</f>
        <v>#REF!</v>
      </c>
      <c r="M14" s="181">
        <f>('Income - Continuing Ops'!F44*(1-'Ratios - Continuing Ops'!W14))/(('Balance Sheet - Continuing Ops'!Q12+'Balance Sheet - Continuing Ops'!P12+'Balance Sheet - Continuing Ops'!Q11+'Balance Sheet - Continuing Ops'!P11)/2)</f>
        <v>9.9310970117195793E-2</v>
      </c>
      <c r="N14" s="180">
        <f>+'Income - Continuing Ops'!Z44/'Income - Continuing Ops'!W44</f>
        <v>14.490351201478747</v>
      </c>
      <c r="O14" s="181">
        <f>+'Income - Continuing Ops'!Y44/'Income - Continuing Ops'!Z44</f>
        <v>4.472477064220183E-2</v>
      </c>
      <c r="P14" s="394">
        <f>+'Income - Continuing Ops'!Y44/'Income - Continuing Ops'!W44</f>
        <v>0.64807763401109075</v>
      </c>
      <c r="Q14" s="186">
        <f>('Balance Sheet - Continuing Ops'!L12+'Balance Sheet - Continuing Ops'!M12+'Balance Sheet - Continuing Ops'!N12+'Balance Sheet - Continuing Ops'!O12)/'Balance Sheet - Continuing Ops'!G12</f>
        <v>0.5324262854334656</v>
      </c>
      <c r="R14" s="187">
        <f>(+'Balance Sheet - Continuing Ops'!M12+'Balance Sheet - Continuing Ops'!I12)/('Balance Sheet - Continuing Ops'!R12+'Balance Sheet - Continuing Ops'!I12)</f>
        <v>0.38054374471394237</v>
      </c>
      <c r="S14" s="187">
        <f>('Balance Sheet - Continuing Ops'!M12+'Balance Sheet - Continuing Ops'!I12-'Balance Sheet - Continuing Ops'!B12)/('Balance Sheet - Continuing Ops'!R12+'Balance Sheet - Continuing Ops'!I12-'Balance Sheet - Continuing Ops'!B12)</f>
        <v>0.33265803138253491</v>
      </c>
      <c r="T14" s="180">
        <f>('Balance Sheet - Continuing Ops'!I12+'Balance Sheet - Continuing Ops'!M12)/'Income - Continuing Ops'!P44</f>
        <v>2.1275390624999999</v>
      </c>
      <c r="U14" s="180">
        <f>('Balance Sheet - Continuing Ops'!I12+'Balance Sheet - Continuing Ops'!M12-'Balance Sheet - Continuing Ops'!B12)/'Income - Continuing Ops'!P44</f>
        <v>1.7263671875</v>
      </c>
      <c r="V14" s="188">
        <f>+'Income - Continuing Ops'!F44/'Income - Continuing Ops'!G44</f>
        <v>6.28839590443686</v>
      </c>
      <c r="W14" s="236">
        <f>+'Income - Continuing Ops'!I44/('Income - Continuing Ops'!I44+'Income - Continuing Ops'!J44)</f>
        <v>0.3049467752035066</v>
      </c>
    </row>
    <row r="15" spans="1:23" ht="15.5" x14ac:dyDescent="0.35">
      <c r="A15" s="150">
        <v>2008</v>
      </c>
      <c r="B15" s="177">
        <f>+'Balance Sheet - Continuing Ops'!E13/'Balance Sheet - Continuing Ops'!L13</f>
        <v>2.4686532507739933</v>
      </c>
      <c r="C15" s="188">
        <f>('Income - Continuing Ops'!B45-'Income - Continuing Ops'!C45)/(('Balance Sheet - Continuing Ops'!D13+'Balance Sheet - Continuing Ops'!D12)/2)</f>
        <v>6.2116022099447505</v>
      </c>
      <c r="D15" s="189">
        <f>+'Income - Continuing Ops'!N45/'Income - Continuing Ops'!B45</f>
        <v>3.5794018792473216E-2</v>
      </c>
      <c r="E15" s="180">
        <f>+'Income - Continuing Ops'!B45/'Balance Sheet - Continuing Ops'!U13</f>
        <v>1.2358216367473889</v>
      </c>
      <c r="F15" s="181">
        <f t="shared" si="0"/>
        <v>4.4235022889881043E-2</v>
      </c>
      <c r="G15" s="180">
        <f>+'Balance Sheet - Continuing Ops'!U13/'Balance Sheet - Continuing Ops'!V13</f>
        <v>2.0398966164396315</v>
      </c>
      <c r="H15" s="190">
        <f t="shared" si="1"/>
        <v>9.0234873521197995E-2</v>
      </c>
      <c r="I15" s="288">
        <f>(('Income - Continuing Ops'!Z45-'Income - Continuing Ops'!Z44)+'Income - Continuing Ops'!Y45)/'Income - Continuing Ops'!Z44</f>
        <v>-7.1674311926605602E-2</v>
      </c>
      <c r="J15" s="386">
        <f>(('Income - Continuing Ops'!Z45+SUM('Income - Continuing Ops'!Y43:Y45))/'Income - Continuing Ops'!Z42)^(1/3)-1</f>
        <v>-8.4112287984021705E-2</v>
      </c>
      <c r="K15" s="181" t="e">
        <f>+('Income - Continuing Ops'!N45+'Income - Continuing Ops'!G45*(1-'Ratios - Continuing Ops'!W15))/'Balance Sheet - Historical'!#REF!</f>
        <v>#REF!</v>
      </c>
      <c r="L15" s="181" t="e">
        <f>+'Income - Continuing Ops'!F45/AVERAGE('Balance Sheet - Historical'!#REF!,'Balance Sheet - Historical'!#REF!)</f>
        <v>#REF!</v>
      </c>
      <c r="M15" s="181">
        <f>('Income - Continuing Ops'!F45*(1-'Ratios - Continuing Ops'!W15))/(('Balance Sheet - Continuing Ops'!Q13+'Balance Sheet - Continuing Ops'!P13+'Balance Sheet - Continuing Ops'!Q12+'Balance Sheet - Continuing Ops'!P12)/2)</f>
        <v>7.3099340608481764E-2</v>
      </c>
      <c r="N15" s="180">
        <f>+'Income - Continuing Ops'!Z45/'Income - Continuing Ops'!W45</f>
        <v>17.511706648389296</v>
      </c>
      <c r="O15" s="181">
        <f>+'Income - Continuing Ops'!Y45/'Income - Continuing Ops'!Z45</f>
        <v>6.583278472679395E-2</v>
      </c>
      <c r="P15" s="394">
        <f>+'Income - Continuing Ops'!Y45/'Income - Continuing Ops'!W45</f>
        <v>1.152844413982179</v>
      </c>
      <c r="Q15" s="186">
        <f>('Balance Sheet - Continuing Ops'!L13+'Balance Sheet - Continuing Ops'!M13+'Balance Sheet - Continuing Ops'!N13+'Balance Sheet - Continuing Ops'!O13)/'Balance Sheet - Continuing Ops'!G13</f>
        <v>0.48424549295320413</v>
      </c>
      <c r="R15" s="187">
        <f>(+'Balance Sheet - Continuing Ops'!M13+'Balance Sheet - Continuing Ops'!I13)/('Balance Sheet - Continuing Ops'!R13+'Balance Sheet - Continuing Ops'!I13)</f>
        <v>0.33518781414265436</v>
      </c>
      <c r="S15" s="187">
        <f>('Balance Sheet - Continuing Ops'!M13+'Balance Sheet - Continuing Ops'!I13-'Balance Sheet - Continuing Ops'!B13)/('Balance Sheet - Continuing Ops'!R13+'Balance Sheet - Continuing Ops'!I13-'Balance Sheet - Continuing Ops'!B13)</f>
        <v>0.29034239842726084</v>
      </c>
      <c r="T15" s="180">
        <f>('Balance Sheet - Continuing Ops'!I13+'Balance Sheet - Continuing Ops'!M13)/'Income - Continuing Ops'!P45</f>
        <v>2.127100073046019</v>
      </c>
      <c r="U15" s="180">
        <f>('Balance Sheet - Continuing Ops'!I13+'Balance Sheet - Continuing Ops'!M13-'Balance Sheet - Continuing Ops'!B13)/'Income - Continuing Ops'!P45</f>
        <v>1.7260774287801315</v>
      </c>
      <c r="V15" s="188">
        <f>+'Income - Continuing Ops'!F45/'Income - Continuing Ops'!G45</f>
        <v>5.5847107438016543</v>
      </c>
      <c r="W15" s="236">
        <f>+'Income - Continuing Ops'!I45/('Income - Continuing Ops'!I45+'Income - Continuing Ops'!J45)</f>
        <v>0.34735472679965296</v>
      </c>
    </row>
    <row r="16" spans="1:23" ht="15.5" x14ac:dyDescent="0.35">
      <c r="A16" s="150">
        <v>2009</v>
      </c>
      <c r="B16" s="177">
        <f>+'Balance Sheet - Continuing Ops'!E14/'Balance Sheet - Continuing Ops'!L14</f>
        <v>2.2507990223726262</v>
      </c>
      <c r="C16" s="188">
        <f>('Income - Continuing Ops'!B46-'Income - Continuing Ops'!C46)/(('Balance Sheet - Continuing Ops'!D14+'Balance Sheet - Continuing Ops'!D13)/2)</f>
        <v>4.6634221878110829</v>
      </c>
      <c r="D16" s="189">
        <f>+'Income - Continuing Ops'!N46/'Income - Continuing Ops'!B46</f>
        <v>4.5940890385334832E-2</v>
      </c>
      <c r="E16" s="180">
        <f>+'Income - Continuing Ops'!B46/'Balance Sheet - Continuing Ops'!U14</f>
        <v>0.87377212624421829</v>
      </c>
      <c r="F16" s="181">
        <f t="shared" si="0"/>
        <v>4.0141869473546581E-2</v>
      </c>
      <c r="G16" s="180">
        <f>+'Balance Sheet - Continuing Ops'!U14/'Balance Sheet - Continuing Ops'!V14</f>
        <v>1.9520467089940339</v>
      </c>
      <c r="H16" s="190">
        <f t="shared" si="1"/>
        <v>7.8358804198704668E-2</v>
      </c>
      <c r="I16" s="288">
        <f>(('Income - Continuing Ops'!Z46-'Income - Continuing Ops'!Z45)+'Income - Continuing Ops'!Y46)/'Income - Continuing Ops'!Z45</f>
        <v>0.41013824884792621</v>
      </c>
      <c r="J16" s="386">
        <f>(('Income - Continuing Ops'!Z46+SUM('Income - Continuing Ops'!Y44:Y46))/'Income - Continuing Ops'!Z43)^(1/3)-1</f>
        <v>-9.8597970657785527E-3</v>
      </c>
      <c r="K16" s="181" t="e">
        <f>+('Income - Continuing Ops'!N46+'Income - Continuing Ops'!G46*(1-'Ratios - Continuing Ops'!W16))/'Balance Sheet - Historical'!#REF!</f>
        <v>#REF!</v>
      </c>
      <c r="L16" s="181" t="e">
        <f>+'Income - Continuing Ops'!F46/AVERAGE('Balance Sheet - Historical'!#REF!,'Balance Sheet - Historical'!#REF!)</f>
        <v>#REF!</v>
      </c>
      <c r="M16" s="181">
        <f>('Income - Continuing Ops'!F46*(1-'Ratios - Continuing Ops'!W16))/(('Balance Sheet - Continuing Ops'!Q14+'Balance Sheet - Continuing Ops'!P14+'Balance Sheet - Continuing Ops'!Q13+'Balance Sheet - Continuing Ops'!P13)/2)</f>
        <v>6.6919003915937761E-2</v>
      </c>
      <c r="N16" s="180">
        <f>+'Income - Continuing Ops'!Z46/'Income - Continuing Ops'!W46</f>
        <v>26.579804560260587</v>
      </c>
      <c r="O16" s="181">
        <f>+'Income - Continuing Ops'!Y46/'Income - Continuing Ops'!Z46</f>
        <v>0.05</v>
      </c>
      <c r="P16" s="394">
        <f>+'Income - Continuing Ops'!Y46/'Income - Continuing Ops'!W46</f>
        <v>1.3289902280130295</v>
      </c>
      <c r="Q16" s="186">
        <f>('Balance Sheet - Continuing Ops'!L14+'Balance Sheet - Continuing Ops'!M14+'Balance Sheet - Continuing Ops'!N14+'Balance Sheet - Continuing Ops'!O14)/'Balance Sheet - Continuing Ops'!G14</f>
        <v>0.49128446447507956</v>
      </c>
      <c r="R16" s="187">
        <f>(+'Balance Sheet - Continuing Ops'!M14+'Balance Sheet - Continuing Ops'!I14)/('Balance Sheet - Continuing Ops'!R14+'Balance Sheet - Continuing Ops'!I14)</f>
        <v>0.32029810080935983</v>
      </c>
      <c r="S16" s="187">
        <f>('Balance Sheet - Continuing Ops'!M14+'Balance Sheet - Continuing Ops'!I14-'Balance Sheet - Continuing Ops'!B14)/('Balance Sheet - Continuing Ops'!R14+'Balance Sheet - Continuing Ops'!I14-'Balance Sheet - Continuing Ops'!B14)</f>
        <v>0.24108620766787461</v>
      </c>
      <c r="T16" s="180">
        <f>('Balance Sheet - Continuing Ops'!I14+'Balance Sheet - Continuing Ops'!M14)/'Income - Continuing Ops'!P46</f>
        <v>2.3137481910274964</v>
      </c>
      <c r="U16" s="180">
        <f>('Balance Sheet - Continuing Ops'!I14+'Balance Sheet - Continuing Ops'!M14-'Balance Sheet - Continuing Ops'!B14)/'Income - Continuing Ops'!P46</f>
        <v>1.5597684515195369</v>
      </c>
      <c r="V16" s="188">
        <f>+'Income - Continuing Ops'!F46/'Income - Continuing Ops'!G46</f>
        <v>6.0804289544235921</v>
      </c>
      <c r="W16" s="236">
        <f>+'Income - Continuing Ops'!I46/('Income - Continuing Ops'!I46+'Income - Continuing Ops'!J46)</f>
        <v>0.35351462288353003</v>
      </c>
    </row>
    <row r="17" spans="1:23" ht="15.5" x14ac:dyDescent="0.35">
      <c r="A17" s="304">
        <v>2010</v>
      </c>
      <c r="B17" s="191">
        <f>+'Balance Sheet - Continuing Ops'!E15/'Balance Sheet - Continuing Ops'!L15</f>
        <v>2.330975143403442</v>
      </c>
      <c r="C17" s="192">
        <f>('Income - Continuing Ops'!B47-'Income - Continuing Ops'!C47)/(('Balance Sheet - Continuing Ops'!D15+'Balance Sheet - Continuing Ops'!D14)/2)</f>
        <v>5.639033633349122</v>
      </c>
      <c r="D17" s="193">
        <f>+'Income - Continuing Ops'!N47/'Income - Continuing Ops'!B47</f>
        <v>5.7110261056304935E-2</v>
      </c>
      <c r="E17" s="194">
        <f>+'Income - Continuing Ops'!B47/'Balance Sheet - Continuing Ops'!U15</f>
        <v>0.99032997707107973</v>
      </c>
      <c r="F17" s="195">
        <f t="shared" si="0"/>
        <v>5.6558003522413844E-2</v>
      </c>
      <c r="G17" s="194">
        <f>+'Balance Sheet - Continuing Ops'!U15/'Balance Sheet - Continuing Ops'!V15</f>
        <v>1.9671841804216379</v>
      </c>
      <c r="H17" s="196">
        <f t="shared" si="1"/>
        <v>0.11126000980552379</v>
      </c>
      <c r="I17" s="291">
        <f>(('Income - Continuing Ops'!Z47-'Income - Continuing Ops'!Z46)+'Income - Continuing Ops'!Y47)/'Income - Continuing Ops'!Z46</f>
        <v>0.16764705882352957</v>
      </c>
      <c r="J17" s="387">
        <f>(('Income - Continuing Ops'!Z47+SUM('Income - Continuing Ops'!Y45:Y47))/'Income - Continuing Ops'!Z44)^(1/3)-1</f>
        <v>0.14002754015410757</v>
      </c>
      <c r="K17" s="195" t="e">
        <f>+('Income - Continuing Ops'!N47+'Income - Continuing Ops'!G47*(1-'Ratios - Continuing Ops'!W17))/'Balance Sheet - Historical'!#REF!</f>
        <v>#REF!</v>
      </c>
      <c r="L17" s="195" t="e">
        <f>+'Income - Continuing Ops'!F47/AVERAGE('Balance Sheet - Historical'!#REF!,'Balance Sheet - Historical'!#REF!)</f>
        <v>#REF!</v>
      </c>
      <c r="M17" s="195">
        <f>('Income - Continuing Ops'!F47*(1-'Ratios - Continuing Ops'!W17))/(('Balance Sheet - Continuing Ops'!Q15+'Balance Sheet - Continuing Ops'!P15+'Balance Sheet - Continuing Ops'!Q14+'Balance Sheet - Continuing Ops'!P14)/2)</f>
        <v>9.6984133282558574E-2</v>
      </c>
      <c r="N17" s="194">
        <f>+'Income - Continuing Ops'!Z47/'Income - Continuing Ops'!W47</f>
        <v>20.500047003525275</v>
      </c>
      <c r="O17" s="195">
        <f>+'Income - Continuing Ops'!Y47/'Income - Continuing Ops'!Z47</f>
        <v>4.6572934973637958E-2</v>
      </c>
      <c r="P17" s="395">
        <f>+'Income - Continuing Ops'!Y47/'Income - Continuing Ops'!W47</f>
        <v>0.95474735605170424</v>
      </c>
      <c r="Q17" s="198">
        <f>('Balance Sheet - Continuing Ops'!L15+'Balance Sheet - Continuing Ops'!M15+'Balance Sheet - Continuing Ops'!N15+'Balance Sheet - Continuing Ops'!O15)/'Balance Sheet - Continuing Ops'!G15</f>
        <v>0.49203598800399873</v>
      </c>
      <c r="R17" s="197">
        <f>(+'Balance Sheet - Continuing Ops'!M15+'Balance Sheet - Continuing Ops'!I15)/('Balance Sheet - Continuing Ops'!R15+'Balance Sheet - Continuing Ops'!I15)</f>
        <v>0.3082009515361665</v>
      </c>
      <c r="S17" s="197">
        <f>('Balance Sheet - Continuing Ops'!M15+'Balance Sheet - Continuing Ops'!I15-'Balance Sheet - Continuing Ops'!B15)/('Balance Sheet - Continuing Ops'!R15+'Balance Sheet - Continuing Ops'!I15-'Balance Sheet - Continuing Ops'!B15)</f>
        <v>0.23254461689851058</v>
      </c>
      <c r="T17" s="194">
        <f>('Balance Sheet - Continuing Ops'!I15+'Balance Sheet - Continuing Ops'!M15)/'Income - Continuing Ops'!P47</f>
        <v>1.960502692998205</v>
      </c>
      <c r="U17" s="194">
        <f>('Balance Sheet - Continuing Ops'!I15+'Balance Sheet - Continuing Ops'!M15-'Balance Sheet - Continuing Ops'!B15)/'Income - Continuing Ops'!P47</f>
        <v>1.3334188253398311</v>
      </c>
      <c r="V17" s="192">
        <f>+'Income - Continuing Ops'!F47/'Income - Continuing Ops'!G47</f>
        <v>7.3872679045092822</v>
      </c>
      <c r="W17" s="237">
        <f>+'Income - Continuing Ops'!I47/('Income - Continuing Ops'!I47+'Income - Continuing Ops'!J47)</f>
        <v>0.28292682926829271</v>
      </c>
    </row>
    <row r="18" spans="1:23" ht="15.5" x14ac:dyDescent="0.35">
      <c r="A18" s="166">
        <v>2011</v>
      </c>
      <c r="B18" s="177">
        <f>+'Balance Sheet - Continuing Ops'!E16/'Balance Sheet - Continuing Ops'!L16</f>
        <v>2.0887372013651877</v>
      </c>
      <c r="C18" s="188">
        <f>('Income - Continuing Ops'!B48-'Income - Continuing Ops'!C48)/(('Balance Sheet - Continuing Ops'!D16+'Balance Sheet - Continuing Ops'!D15)/2)</f>
        <v>6.0974552094031722</v>
      </c>
      <c r="D18" s="181">
        <f>+'Income - Continuing Ops'!N48/'Income - Continuing Ops'!B48</f>
        <v>5.4250423831436211E-2</v>
      </c>
      <c r="E18" s="180">
        <f>+'Income - Continuing Ops'!B48/'Balance Sheet - Continuing Ops'!U16</f>
        <v>1.1166815976741433</v>
      </c>
      <c r="F18" s="181">
        <f t="shared" si="0"/>
        <v>6.0580449958587607E-2</v>
      </c>
      <c r="G18" s="180">
        <f>+'Balance Sheet - Continuing Ops'!U16/'Balance Sheet - Continuing Ops'!V16</f>
        <v>2.0889445994138627</v>
      </c>
      <c r="H18" s="325">
        <f t="shared" si="1"/>
        <v>0.12654920377105333</v>
      </c>
      <c r="I18" s="324">
        <f>(('Income - Continuing Ops'!Z48-'Income - Continuing Ops'!Z47)+'Income - Continuing Ops'!Y48)/'Income - Continuing Ops'!Z47</f>
        <v>6.0632688927943656E-2</v>
      </c>
      <c r="J18" s="386">
        <f>(('Income - Continuing Ops'!Z48+SUM('Income - Continuing Ops'!Y46:Y48))/'Income - Continuing Ops'!Z45)^(1/3)-1</f>
        <v>0.199568274218348</v>
      </c>
      <c r="K18" s="181" t="e">
        <f>+('Income - Continuing Ops'!N48+'Income - Continuing Ops'!G48*(1-'Ratios - Continuing Ops'!W18))/'Balance Sheet - Historical'!#REF!</f>
        <v>#REF!</v>
      </c>
      <c r="L18" s="181" t="e">
        <f>+'Income - Continuing Ops'!F48/AVERAGE('Balance Sheet - Historical'!#REF!,'Balance Sheet - Historical'!#REF!)</f>
        <v>#REF!</v>
      </c>
      <c r="M18" s="181">
        <f>('Income - Continuing Ops'!F48*(1-'Ratios - Continuing Ops'!W18))/(('Balance Sheet - Continuing Ops'!Q16+'Balance Sheet - Continuing Ops'!P16+'Balance Sheet - Continuing Ops'!Q15+'Balance Sheet - Continuing Ops'!P15)/2)</f>
        <v>0.1038995857693035</v>
      </c>
      <c r="N18" s="180">
        <f>+'Income - Continuing Ops'!Z48/'Income - Continuing Ops'!W48</f>
        <v>18.899999999999991</v>
      </c>
      <c r="O18" s="181">
        <f>+'Income - Continuing Ops'!Y48/'Income - Continuing Ops'!Z48</f>
        <v>4.7743055555555559E-2</v>
      </c>
      <c r="P18" s="393">
        <f>+'Income - Continuing Ops'!Y48/'Income - Continuing Ops'!W48</f>
        <v>0.90234374999999967</v>
      </c>
      <c r="Q18" s="186">
        <f>('Balance Sheet - Continuing Ops'!L16+'Balance Sheet - Continuing Ops'!M16+'Balance Sheet - Continuing Ops'!N16+'Balance Sheet - Continuing Ops'!O16)/'Balance Sheet - Continuing Ops'!G16</f>
        <v>0.55140475455387461</v>
      </c>
      <c r="R18" s="187">
        <f>(+'Balance Sheet - Continuing Ops'!M16+'Balance Sheet - Continuing Ops'!I16)/('Balance Sheet - Continuing Ops'!R16+'Balance Sheet - Continuing Ops'!I16)</f>
        <v>0.35846628924343799</v>
      </c>
      <c r="S18" s="187">
        <f>('Balance Sheet - Continuing Ops'!M16+'Balance Sheet - Continuing Ops'!I16-'Balance Sheet - Continuing Ops'!B16)/('Balance Sheet - Continuing Ops'!R16+'Balance Sheet - Continuing Ops'!I16-'Balance Sheet - Continuing Ops'!B16)</f>
        <v>0.28611654655657903</v>
      </c>
      <c r="T18" s="180">
        <f>('Balance Sheet - Continuing Ops'!I16+'Balance Sheet - Continuing Ops'!M16)/'Income - Continuing Ops'!P48</f>
        <v>2.1658460741124639</v>
      </c>
      <c r="U18" s="180">
        <f>('Balance Sheet - Continuing Ops'!I16+'Balance Sheet - Continuing Ops'!M16-'Balance Sheet - Continuing Ops'!B16)/'Income - Continuing Ops'!P48</f>
        <v>1.5535112723503495</v>
      </c>
      <c r="V18" s="340">
        <f>+'Income - Continuing Ops'!F48/'Income - Continuing Ops'!G48</f>
        <v>7.36220472440945</v>
      </c>
      <c r="W18" s="341">
        <f>+'Income - Continuing Ops'!I48/('Income - Continuing Ops'!I48+'Income - Continuing Ops'!J48)</f>
        <v>0.26816539542352458</v>
      </c>
    </row>
    <row r="19" spans="1:23" ht="15.5" x14ac:dyDescent="0.35">
      <c r="A19" s="166">
        <v>2012</v>
      </c>
      <c r="B19" s="177">
        <f>+'Balance Sheet - Continuing Ops'!E17/'Balance Sheet - Continuing Ops'!L17</f>
        <v>1.8318741450068399</v>
      </c>
      <c r="C19" s="188">
        <f>('Income - Continuing Ops'!B49-'Income - Continuing Ops'!C49)/(('Balance Sheet - Continuing Ops'!D17+'Balance Sheet - Continuing Ops'!D16)/2)</f>
        <v>5.8470967741935489</v>
      </c>
      <c r="D19" s="181">
        <f>+'Income - Continuing Ops'!N49/'Income - Continuing Ops'!B49</f>
        <v>5.9305901303265483E-2</v>
      </c>
      <c r="E19" s="180">
        <f>+'Income - Continuing Ops'!B49/'Balance Sheet - Continuing Ops'!U17</f>
        <v>1.1068071312803889</v>
      </c>
      <c r="F19" s="181">
        <f t="shared" si="0"/>
        <v>6.5640194489465148E-2</v>
      </c>
      <c r="G19" s="180">
        <f>+'Balance Sheet - Continuing Ops'!U17/'Balance Sheet - Continuing Ops'!V17</f>
        <v>2.243717953380123</v>
      </c>
      <c r="H19" s="190">
        <f t="shared" si="1"/>
        <v>0.14727808283937596</v>
      </c>
      <c r="I19" s="324">
        <f>(('Income - Continuing Ops'!Z49-'Income - Continuing Ops'!Z48)+'Income - Continuing Ops'!Y49)/'Income - Continuing Ops'!Z48</f>
        <v>0.23090277777777776</v>
      </c>
      <c r="J19" s="386">
        <f>(('Income - Continuing Ops'!Z49+SUM('Income - Continuing Ops'!Y47:Y49))/'Income - Continuing Ops'!Z46)^(1/3)-1</f>
        <v>0.14371579961972403</v>
      </c>
      <c r="K19" s="181" t="e">
        <f>+('Income - Continuing Ops'!N49+'Income - Continuing Ops'!G49*(1-'Ratios - Continuing Ops'!W19))/'Balance Sheet - Historical'!#REF!</f>
        <v>#REF!</v>
      </c>
      <c r="L19" s="181" t="e">
        <f>+'Income - Continuing Ops'!F49/AVERAGE('Balance Sheet - Historical'!#REF!,'Balance Sheet - Historical'!#REF!)</f>
        <v>#REF!</v>
      </c>
      <c r="M19" s="181">
        <f>('Income - Continuing Ops'!F49*(1-'Ratios - Continuing Ops'!W19))/(('Balance Sheet - Continuing Ops'!Q17+'Balance Sheet - Continuing Ops'!P17+'Balance Sheet - Continuing Ops'!Q16+'Balance Sheet - Continuing Ops'!P16)/2)</f>
        <v>0.11423765221475081</v>
      </c>
      <c r="N19" s="180">
        <f>+'Income - Continuing Ops'!Z49/'Income - Continuing Ops'!W49</f>
        <v>19.62528395061728</v>
      </c>
      <c r="O19" s="181">
        <f>+'Income - Continuing Ops'!Y49/'Income - Continuing Ops'!Z49</f>
        <v>4.1880969875091843E-2</v>
      </c>
      <c r="P19" s="394">
        <f>+'Income - Continuing Ops'!Y49/'Income - Continuing Ops'!W49</f>
        <v>0.82192592592592584</v>
      </c>
      <c r="Q19" s="186">
        <f>('Balance Sheet - Continuing Ops'!L17+'Balance Sheet - Continuing Ops'!M17+'Balance Sheet - Continuing Ops'!N17+'Balance Sheet - Continuing Ops'!O17)/'Balance Sheet - Continuing Ops'!G17</f>
        <v>0.55691419091216332</v>
      </c>
      <c r="R19" s="187">
        <f>(+'Balance Sheet - Continuing Ops'!M17+'Balance Sheet - Continuing Ops'!I17)/('Balance Sheet - Continuing Ops'!R17+'Balance Sheet - Continuing Ops'!I17)</f>
        <v>0.3872459088574155</v>
      </c>
      <c r="S19" s="187">
        <f>('Balance Sheet - Continuing Ops'!M17+'Balance Sheet - Continuing Ops'!I17-'Balance Sheet - Continuing Ops'!B17)/('Balance Sheet - Continuing Ops'!R17+'Balance Sheet - Continuing Ops'!I17-'Balance Sheet - Continuing Ops'!B17)</f>
        <v>0.2942568566961079</v>
      </c>
      <c r="T19" s="180">
        <f>('Balance Sheet - Continuing Ops'!I17+'Balance Sheet - Continuing Ops'!M17)/'Income - Continuing Ops'!P49</f>
        <v>2.4217530977512625</v>
      </c>
      <c r="U19" s="180">
        <f>('Balance Sheet - Continuing Ops'!I17+'Balance Sheet - Continuing Ops'!M17-'Balance Sheet - Continuing Ops'!B17)/'Income - Continuing Ops'!P49</f>
        <v>1.5977512620468108</v>
      </c>
      <c r="V19" s="188">
        <f>+'Income - Continuing Ops'!F49/'Income - Continuing Ops'!G49</f>
        <v>7.4746543778801842</v>
      </c>
      <c r="W19" s="236">
        <f>+'Income - Continuing Ops'!I49/('Income - Continuing Ops'!I49+'Income - Continuing Ops'!J49)</f>
        <v>0.28765217391304349</v>
      </c>
    </row>
    <row r="20" spans="1:23" ht="15.5" x14ac:dyDescent="0.35">
      <c r="A20" s="166">
        <v>2013</v>
      </c>
      <c r="B20" s="177">
        <f>+'Balance Sheet - Continuing Ops'!E18/'Balance Sheet - Continuing Ops'!L18</f>
        <v>1.5451476793248946</v>
      </c>
      <c r="C20" s="188">
        <f>('Income - Continuing Ops'!B50-'Income - Continuing Ops'!C50)/(('Balance Sheet - Continuing Ops'!D18+'Balance Sheet - Continuing Ops'!D17)/2)</f>
        <v>5.619453751649913</v>
      </c>
      <c r="D20" s="181">
        <f>+'Income - Continuing Ops'!N50/'Income - Continuing Ops'!B50</f>
        <v>6.3413090992752788E-2</v>
      </c>
      <c r="E20" s="180">
        <f>+'Income - Continuing Ops'!B50/'Balance Sheet - Continuing Ops'!U18</f>
        <v>1.0929435800722929</v>
      </c>
      <c r="F20" s="181">
        <f t="shared" si="0"/>
        <v>6.9306930693069299E-2</v>
      </c>
      <c r="G20" s="180">
        <f>+'Balance Sheet - Continuing Ops'!U18/'Balance Sheet - Continuing Ops'!V18</f>
        <v>2.2393890335749984</v>
      </c>
      <c r="H20" s="190">
        <f t="shared" si="1"/>
        <v>0.15520518054480184</v>
      </c>
      <c r="I20" s="324">
        <f>(('Income - Continuing Ops'!Z50-'Income - Continuing Ops'!Z49)+'Income - Continuing Ops'!Y50)/'Income - Continuing Ops'!Z49</f>
        <v>0.18001469507714923</v>
      </c>
      <c r="J20" s="386">
        <f>(('Income - Continuing Ops'!Z50+SUM('Income - Continuing Ops'!Y48:Y50))/'Income - Continuing Ops'!Z47)^(1/3)-1</f>
        <v>0.14716784644919145</v>
      </c>
      <c r="K20" s="181" t="e">
        <f>+('Income - Continuing Ops'!N50+'Income - Continuing Ops'!G50*(1-'Ratios - Continuing Ops'!W20))/'Balance Sheet - Historical'!#REF!</f>
        <v>#REF!</v>
      </c>
      <c r="L20" s="181" t="e">
        <f>+'Income - Continuing Ops'!F50/AVERAGE('Balance Sheet - Historical'!#REF!,'Balance Sheet - Historical'!#REF!)</f>
        <v>#REF!</v>
      </c>
      <c r="M20" s="181">
        <f>('Income - Continuing Ops'!F50*(1-'Ratios - Continuing Ops'!W20))/(('Balance Sheet - Continuing Ops'!Q18+'Balance Sheet - Continuing Ops'!P18+'Balance Sheet - Continuing Ops'!Q17+'Balance Sheet - Continuing Ops'!P17)/2)</f>
        <v>0.12131612899742931</v>
      </c>
      <c r="N20" s="180">
        <f>+'Income - Continuing Ops'!Z50/'Income - Continuing Ops'!W50</f>
        <v>20.65473015873016</v>
      </c>
      <c r="O20" s="181">
        <f>+'Income - Continuing Ops'!Y50/'Income - Continuing Ops'!Z50</f>
        <v>3.8138332255979311E-2</v>
      </c>
      <c r="P20" s="394">
        <f>+'Income - Continuing Ops'!Y50/'Income - Continuing Ops'!W50</f>
        <v>0.78773696145124716</v>
      </c>
      <c r="Q20" s="186">
        <f>('Balance Sheet - Continuing Ops'!L18+'Balance Sheet - Continuing Ops'!M18+'Balance Sheet - Continuing Ops'!N18+'Balance Sheet - Continuing Ops'!O18)/'Balance Sheet - Continuing Ops'!G18</f>
        <v>0.5498214343167851</v>
      </c>
      <c r="R20" s="187">
        <f>(+'Balance Sheet - Continuing Ops'!M18+'Balance Sheet - Continuing Ops'!I18)/('Balance Sheet - Continuing Ops'!R18+'Balance Sheet - Continuing Ops'!I18)</f>
        <v>0.35349839411310319</v>
      </c>
      <c r="S20" s="187">
        <f>('Balance Sheet - Continuing Ops'!M18+'Balance Sheet - Continuing Ops'!I18-'Balance Sheet - Continuing Ops'!B18)/('Balance Sheet - Continuing Ops'!R18+'Balance Sheet - Continuing Ops'!I18-'Balance Sheet - Continuing Ops'!B18)</f>
        <v>0.27288523090992217</v>
      </c>
      <c r="T20" s="180">
        <f>('Balance Sheet - Continuing Ops'!I18+'Balance Sheet - Continuing Ops'!M18)/'Income - Continuing Ops'!P50</f>
        <v>1.9521778176919624</v>
      </c>
      <c r="U20" s="180">
        <f>('Balance Sheet - Continuing Ops'!I18+'Balance Sheet - Continuing Ops'!M18-'Balance Sheet - Continuing Ops'!B18)/'Income - Continuing Ops'!P50</f>
        <v>1.3399191737763807</v>
      </c>
      <c r="V20" s="188">
        <f>+'Income - Continuing Ops'!F50/'Income - Continuing Ops'!G50</f>
        <v>7.4429530201342278</v>
      </c>
      <c r="W20" s="236">
        <f>+'Income - Continuing Ops'!I50/('Income - Continuing Ops'!I50+'Income - Continuing Ops'!J50)</f>
        <v>0.24619546838011497</v>
      </c>
    </row>
    <row r="21" spans="1:23" ht="15.5" x14ac:dyDescent="0.35">
      <c r="A21" s="166">
        <v>2014</v>
      </c>
      <c r="B21" s="177">
        <f>+'Balance Sheet - Continuing Ops'!E19/'Balance Sheet - Continuing Ops'!L19</f>
        <v>1.4408385406168109</v>
      </c>
      <c r="C21" s="188">
        <f>('Income - Continuing Ops'!B51-'Income - Continuing Ops'!C51)/(('Balance Sheet - Continuing Ops'!D19+'Balance Sheet - Continuing Ops'!D18)/2)</f>
        <v>6.1215345268542203</v>
      </c>
      <c r="D21" s="181">
        <f>+'Income - Continuing Ops'!N51/'Income - Continuing Ops'!B51</f>
        <v>6.7445734077148808E-2</v>
      </c>
      <c r="E21" s="180">
        <f>+'Income - Continuing Ops'!B51/'Balance Sheet - Continuing Ops'!U19</f>
        <v>1.2105878022628707</v>
      </c>
      <c r="F21" s="181">
        <f t="shared" si="0"/>
        <v>8.1648982988461585E-2</v>
      </c>
      <c r="G21" s="180">
        <f>+'Balance Sheet - Continuing Ops'!U19/'Balance Sheet - Continuing Ops'!V19</f>
        <v>2.4465369406053017</v>
      </c>
      <c r="H21" s="190">
        <f t="shared" si="1"/>
        <v>0.19975725304412512</v>
      </c>
      <c r="I21" s="324">
        <f>(('Income - Continuing Ops'!Z51-'Income - Continuing Ops'!Z50)+'Income - Continuing Ops'!Y51)/'Income - Continuing Ops'!Z50</f>
        <v>0.41661279896574011</v>
      </c>
      <c r="J21" s="386">
        <f>(('Income - Continuing Ops'!Z51+SUM('Income - Continuing Ops'!Y49:Y51))/'Income - Continuing Ops'!Z48)^(1/3)-1</f>
        <v>0.26055870797129077</v>
      </c>
      <c r="K21" s="181" t="e">
        <f>+('Income - Continuing Ops'!N51+'Income - Continuing Ops'!G51*(1-'Ratios - Continuing Ops'!W21))/'Balance Sheet - Historical'!#REF!</f>
        <v>#REF!</v>
      </c>
      <c r="L21" s="181" t="e">
        <f>+'Income - Continuing Ops'!F51/AVERAGE('Balance Sheet - Historical'!#REF!,'Balance Sheet - Historical'!#REF!)</f>
        <v>#REF!</v>
      </c>
      <c r="M21" s="181">
        <f>('Income - Continuing Ops'!F51*(1-'Ratios - Continuing Ops'!W21))/(('Balance Sheet - Continuing Ops'!Q19+'Balance Sheet - Continuing Ops'!P19+'Balance Sheet - Continuing Ops'!Q18+'Balance Sheet - Continuing Ops'!P18)/2)</f>
        <v>0.15050931608753046</v>
      </c>
      <c r="N21" s="180">
        <f>+'Income - Continuing Ops'!Z51/'Income - Continuing Ops'!W51</f>
        <v>23.91905919247354</v>
      </c>
      <c r="O21" s="181">
        <f>+'Income - Continuing Ops'!Y51/'Income - Continuing Ops'!Z51</f>
        <v>2.8631776578268011E-2</v>
      </c>
      <c r="P21" s="394">
        <f>+'Income - Continuing Ops'!Y51/'Income - Continuing Ops'!W51</f>
        <v>0.68484515876127017</v>
      </c>
      <c r="Q21" s="186">
        <f>('Balance Sheet - Continuing Ops'!L19+'Balance Sheet - Continuing Ops'!M19+'Balance Sheet - Continuing Ops'!N19+'Balance Sheet - Continuing Ops'!O19)/'Balance Sheet - Continuing Ops'!G19</f>
        <v>0.63226771954403616</v>
      </c>
      <c r="R21" s="187">
        <f>(+'Balance Sheet - Continuing Ops'!M19+'Balance Sheet - Continuing Ops'!I19)/('Balance Sheet - Continuing Ops'!R19+'Balance Sheet - Continuing Ops'!I19)</f>
        <v>0.4120675715926983</v>
      </c>
      <c r="S21" s="187">
        <f>('Balance Sheet - Continuing Ops'!M19+'Balance Sheet - Continuing Ops'!I19-'Balance Sheet - Continuing Ops'!B19)/('Balance Sheet - Continuing Ops'!R19+'Balance Sheet - Continuing Ops'!I19-'Balance Sheet - Continuing Ops'!B19)</f>
        <v>0.31507460466960802</v>
      </c>
      <c r="T21" s="180">
        <f>('Balance Sheet - Continuing Ops'!I19+'Balance Sheet - Continuing Ops'!M19)/'Income - Continuing Ops'!P51</f>
        <v>1.9260143198090696</v>
      </c>
      <c r="U21" s="180">
        <f>('Balance Sheet - Continuing Ops'!I19+'Balance Sheet - Continuing Ops'!M19-'Balance Sheet - Continuing Ops'!B19)/'Income - Continuing Ops'!P51</f>
        <v>1.2641209228321404</v>
      </c>
      <c r="V21" s="188">
        <f>+'Income - Continuing Ops'!F51/'Income - Continuing Ops'!G51</f>
        <v>9.2081339712918648</v>
      </c>
      <c r="W21" s="236">
        <f>+'Income - Continuing Ops'!I51/('Income - Continuing Ops'!I51+'Income - Continuing Ops'!J51)</f>
        <v>0.25967325881341358</v>
      </c>
    </row>
    <row r="22" spans="1:23" ht="15.5" x14ac:dyDescent="0.35">
      <c r="A22" s="409" t="s">
        <v>239</v>
      </c>
      <c r="B22" s="191">
        <f>+'Balance Sheet - Continuing Ops'!E20/'Balance Sheet - Continuing Ops'!L20</f>
        <v>1.8900456360524815</v>
      </c>
      <c r="C22" s="192">
        <f>('Income - Continuing Ops'!B52-'Income - Continuing Ops'!C52)/(('Balance Sheet - Continuing Ops'!D20+'Balance Sheet - Continuing Ops'!D19)/2)</f>
        <v>6.0625812256323099</v>
      </c>
      <c r="D22" s="195">
        <f>+'Income - Continuing Ops'!N52/'Income - Continuing Ops'!B52</f>
        <v>7.842336362708055E-2</v>
      </c>
      <c r="E22" s="194">
        <f>+'Income - Continuing Ops'!B52/'Balance Sheet - Continuing Ops'!U20</f>
        <v>1.2804654811715481</v>
      </c>
      <c r="F22" s="195">
        <f t="shared" si="0"/>
        <v>0.10041841004184099</v>
      </c>
      <c r="G22" s="194">
        <f>+'Balance Sheet - Continuing Ops'!U20/'Balance Sheet - Continuing Ops'!V20</f>
        <v>2.7057002609118643</v>
      </c>
      <c r="H22" s="196">
        <f t="shared" si="1"/>
        <v>0.27170211825056373</v>
      </c>
      <c r="I22" s="291">
        <f>(('Income - Continuing Ops'!Z52-'Income - Continuing Ops'!Z51)+'Income - Continuing Ops'!Y52)/'Income - Continuing Ops'!Z51</f>
        <v>1.5724008448721044E-2</v>
      </c>
      <c r="J22" s="387">
        <f>(('Income - Continuing Ops'!Z52+SUM('Income - Continuing Ops'!Y50:Y52))/'Income - Continuing Ops'!Z49)^(1/3)-1</f>
        <v>0.18835443536173702</v>
      </c>
      <c r="K22" s="195" t="e">
        <f>+('Income - Continuing Ops'!N52+'Income - Continuing Ops'!G52*(1-'Ratios - Continuing Ops'!W22))/'Balance Sheet - Historical'!#REF!</f>
        <v>#REF!</v>
      </c>
      <c r="L22" s="195" t="e">
        <f>+'Income - Continuing Ops'!F52/AVERAGE('Balance Sheet - Historical'!#REF!,'Balance Sheet - Historical'!#REF!)</f>
        <v>#REF!</v>
      </c>
      <c r="M22" s="195">
        <f>('Income - Continuing Ops'!F52*(1-'Ratios - Continuing Ops'!W22))/(('Balance Sheet - Continuing Ops'!Q20+'Balance Sheet - Continuing Ops'!P20+'Balance Sheet - Continuing Ops'!Q19+'Balance Sheet - Continuing Ops'!P19)/2)</f>
        <v>0.18856419424166004</v>
      </c>
      <c r="N22" s="194">
        <f>+'Income - Continuing Ops'!Z52/'Income - Continuing Ops'!W52</f>
        <v>19.591980697292374</v>
      </c>
      <c r="O22" s="195">
        <f>+'Income - Continuing Ops'!Y52/'Income - Continuing Ops'!Z52</f>
        <v>2.9985721085197523E-2</v>
      </c>
      <c r="P22" s="395">
        <f>+'Income - Continuing Ops'!Y52/'Income - Continuing Ops'!W52</f>
        <v>0.58747966869558277</v>
      </c>
      <c r="Q22" s="198">
        <f>('Balance Sheet - Continuing Ops'!L20+'Balance Sheet - Continuing Ops'!M20+'Balance Sheet - Continuing Ops'!N20+'Balance Sheet - Continuing Ops'!O20)/'Balance Sheet - Continuing Ops'!G20</f>
        <v>0.62845053395123918</v>
      </c>
      <c r="R22" s="197">
        <f>(+'Balance Sheet - Continuing Ops'!M20+'Balance Sheet - Continuing Ops'!I20)/('Balance Sheet - Continuing Ops'!R20+'Balance Sheet - Continuing Ops'!I20)</f>
        <v>0.41442982456140343</v>
      </c>
      <c r="S22" s="197">
        <f>('Balance Sheet - Continuing Ops'!M20+'Balance Sheet - Continuing Ops'!I20-'Balance Sheet - Continuing Ops'!B20)/('Balance Sheet - Continuing Ops'!R20+'Balance Sheet - Continuing Ops'!I20-'Balance Sheet - Continuing Ops'!B20)</f>
        <v>0.3412768896783106</v>
      </c>
      <c r="T22" s="194">
        <f>('Balance Sheet - Continuing Ops'!I20+'Balance Sheet - Continuing Ops'!M20)/'Income - Continuing Ops'!P52</f>
        <v>1.6507686932215235</v>
      </c>
      <c r="U22" s="194">
        <f>('Balance Sheet - Continuing Ops'!I20+'Balance Sheet - Continuing Ops'!M20-'Balance Sheet - Continuing Ops'!B20)/'Income - Continuing Ops'!P52</f>
        <v>1.2084206848357792</v>
      </c>
      <c r="V22" s="192">
        <f>+'Income - Continuing Ops'!F52/'Income - Continuing Ops'!G52</f>
        <v>11.172749391727493</v>
      </c>
      <c r="W22" s="237">
        <f>+'Income - Continuing Ops'!I52/('Income - Continuing Ops'!I52+'Income - Continuing Ops'!J52)</f>
        <v>0.26319526627218937</v>
      </c>
    </row>
    <row r="23" spans="1:23" ht="15.5" x14ac:dyDescent="0.35">
      <c r="A23" s="398" t="s">
        <v>234</v>
      </c>
      <c r="B23" s="177">
        <f>+'Balance Sheet - Continuing Ops'!E21/'Balance Sheet - Continuing Ops'!L21</f>
        <v>1.9143787149731106</v>
      </c>
      <c r="C23" s="188">
        <f>('Income - Continuing Ops'!B53-'Income - Continuing Ops'!C53)/(('Balance Sheet - Continuing Ops'!D21+'Balance Sheet - Continuing Ops'!D20)/2)</f>
        <v>5.3212644217240417</v>
      </c>
      <c r="D23" s="189">
        <f>+'Income - Continuing Ops'!N53/'Income - Continuing Ops'!B53</f>
        <v>9.4989199711992336E-2</v>
      </c>
      <c r="E23" s="180">
        <f>+'Income - Continuing Ops'!B53/'Balance Sheet - Continuing Ops'!U21</f>
        <v>1.2521161326944588</v>
      </c>
      <c r="F23" s="181">
        <f t="shared" si="0"/>
        <v>0.11893750939112144</v>
      </c>
      <c r="G23" s="180">
        <f>+'Balance Sheet - Continuing Ops'!U21/'Balance Sheet - Continuing Ops'!V21</f>
        <v>2.7008612526491405</v>
      </c>
      <c r="H23" s="190">
        <f t="shared" si="1"/>
        <v>0.32123371060107314</v>
      </c>
      <c r="I23" s="288">
        <f>(('Income - Continuing Ops'!Z53-'Income - Continuing Ops'!Z52)+'Income - Continuing Ops'!Y53)/'Income - Continuing Ops'!Z52</f>
        <v>0.19514516896715847</v>
      </c>
      <c r="J23" s="386">
        <f>(('Income - Continuing Ops'!Z53+SUM('Income - Continuing Ops'!Y51:Y53))/'Income - Continuing Ops'!Z50)^(1/3)-1</f>
        <v>0.19425417611587359</v>
      </c>
      <c r="K23" s="181" t="e">
        <f>+('Income - Continuing Ops'!N53+'Income - Continuing Ops'!G53*(1-'Ratios - Continuing Ops'!W23))/'Balance Sheet - Historical'!#REF!</f>
        <v>#REF!</v>
      </c>
      <c r="L23" s="181" t="e">
        <f>+'Income - Continuing Ops'!F53/AVERAGE('Balance Sheet - Historical'!#REF!,'Balance Sheet - Historical'!#REF!)</f>
        <v>#REF!</v>
      </c>
      <c r="M23" s="181">
        <f>('Income - Continuing Ops'!F53*(1-'Ratios - Continuing Ops'!W23))/(('Balance Sheet - Continuing Ops'!Q21+'Balance Sheet - Continuing Ops'!P21+'Balance Sheet - Continuing Ops'!Q20+'Balance Sheet - Continuing Ops'!P20)/2)</f>
        <v>0.21359108322826348</v>
      </c>
      <c r="N23" s="180">
        <f>+'Income - Continuing Ops'!Z53/'Income - Continuing Ops'!W53</f>
        <v>19.211678832116789</v>
      </c>
      <c r="O23" s="181">
        <f>+'Income - Continuing Ops'!Y53/'Income - Continuing Ops'!Z53</f>
        <v>2.7414075286415714E-2</v>
      </c>
      <c r="P23" s="394">
        <f>+'Income - Continuing Ops'!Y53/'Income - Continuing Ops'!W53</f>
        <v>0.52667040988208869</v>
      </c>
      <c r="Q23" s="186">
        <f>('Balance Sheet - Continuing Ops'!L21+'Balance Sheet - Continuing Ops'!M21+'Balance Sheet - Continuing Ops'!N21+'Balance Sheet - Continuing Ops'!O21)/'Balance Sheet - Continuing Ops'!G21</f>
        <v>0.63103024668813712</v>
      </c>
      <c r="R23" s="187">
        <f>(+'Balance Sheet - Continuing Ops'!M21+'Balance Sheet - Continuing Ops'!I21)/('Balance Sheet - Continuing Ops'!R21+'Balance Sheet - Continuing Ops'!I21)</f>
        <v>0.4156957858720603</v>
      </c>
      <c r="S23" s="187">
        <f>('Balance Sheet - Continuing Ops'!M21+'Balance Sheet - Continuing Ops'!I21-'Balance Sheet - Continuing Ops'!B21)/('Balance Sheet - Continuing Ops'!R21+'Balance Sheet - Continuing Ops'!I21-'Balance Sheet - Continuing Ops'!B21)</f>
        <v>0.33443512580167739</v>
      </c>
      <c r="T23" s="180">
        <f>('Balance Sheet - Continuing Ops'!I21+'Balance Sheet - Continuing Ops'!M21)/'Income - Continuing Ops'!P53</f>
        <v>1.5485640529202969</v>
      </c>
      <c r="U23" s="180">
        <f>('Balance Sheet - Continuing Ops'!I21+'Balance Sheet - Continuing Ops'!M21-'Balance Sheet - Continuing Ops'!B21)/'Income - Continuing Ops'!P53</f>
        <v>1.0937399161019683</v>
      </c>
      <c r="V23" s="188">
        <f>+'Income - Continuing Ops'!F53/'Income - Continuing Ops'!G53</f>
        <v>13.000000000000002</v>
      </c>
      <c r="W23" s="236">
        <f>+'Income - Continuing Ops'!I53/('Income - Continuing Ops'!I53+'Income - Continuing Ops'!J53)</f>
        <v>0.24046858359957402</v>
      </c>
    </row>
    <row r="24" spans="1:23" ht="15.5" x14ac:dyDescent="0.35">
      <c r="A24" s="398" t="s">
        <v>235</v>
      </c>
      <c r="B24" s="177">
        <f>+'Balance Sheet - Continuing Ops'!E22/'Balance Sheet - Continuing Ops'!L22</f>
        <v>1.8527965580823602</v>
      </c>
      <c r="C24" s="188">
        <f>('Income - Continuing Ops'!B54-'Income - Continuing Ops'!C54)/(('Balance Sheet - Continuing Ops'!D22+'Balance Sheet - Continuing Ops'!D21)/2)</f>
        <v>5.2282243473765844</v>
      </c>
      <c r="D24" s="181">
        <f>+'Income - Continuing Ops'!N54/'Income - Continuing Ops'!B54</f>
        <v>8.8772250114103154E-2</v>
      </c>
      <c r="E24" s="180">
        <f>+'Income - Continuing Ops'!B54/'Balance Sheet - Continuing Ops'!U22</f>
        <v>1.1942043028660541</v>
      </c>
      <c r="F24" s="181">
        <f t="shared" si="0"/>
        <v>0.10601220306136354</v>
      </c>
      <c r="G24" s="180">
        <f>+'Balance Sheet - Continuing Ops'!U22/'Balance Sheet - Continuing Ops'!V22</f>
        <v>2.8302266786647818</v>
      </c>
      <c r="H24" s="190">
        <f t="shared" si="1"/>
        <v>0.30003856536829937</v>
      </c>
      <c r="I24" s="324">
        <f>(('Income - Continuing Ops'!Z54-'Income - Continuing Ops'!Z53)+'Income - Continuing Ops'!Y54)/'Income - Continuing Ops'!Z53</f>
        <v>5.5237315875612571E-3</v>
      </c>
      <c r="J24" s="386">
        <f>(('Income - Continuing Ops'!Z54+SUM('Income - Continuing Ops'!Y52:Y54))/'Income - Continuing Ops'!Z51)^(1/3)-1</f>
        <v>6.6922662259252919E-2</v>
      </c>
      <c r="K24" s="181" t="e">
        <f>+('Income - Continuing Ops'!N54+'Income - Continuing Ops'!G54*(1-'Ratios - Continuing Ops'!W24))/'Balance Sheet - Historical'!#REF!</f>
        <v>#REF!</v>
      </c>
      <c r="L24" s="181" t="e">
        <f>+'Income - Continuing Ops'!F54/AVERAGE('Balance Sheet - Historical'!#REF!,'Balance Sheet - Historical'!#REF!)</f>
        <v>#REF!</v>
      </c>
      <c r="M24" s="181">
        <f>('Income - Continuing Ops'!F54*(1-'Ratios - Continuing Ops'!W24))/(('Balance Sheet - Continuing Ops'!Q22+'Balance Sheet - Continuing Ops'!P22+'Balance Sheet - Continuing Ops'!Q21+'Balance Sheet - Continuing Ops'!P21)/2)</f>
        <v>0.20249852531018889</v>
      </c>
      <c r="N24" s="180">
        <f>+'Income - Continuing Ops'!Z54/'Income - Continuing Ops'!W54</f>
        <v>18.572773958044017</v>
      </c>
      <c r="O24" s="181">
        <f>+'Income - Continuing Ops'!Y54/'Income - Continuing Ops'!Z54</f>
        <v>2.9750680913471612E-2</v>
      </c>
      <c r="P24" s="394">
        <f>+'Income - Continuing Ops'!Y54/'Income - Continuing Ops'!W54</f>
        <v>0.55255267170380273</v>
      </c>
      <c r="Q24" s="186">
        <f>('Balance Sheet - Continuing Ops'!L22+'Balance Sheet - Continuing Ops'!M22+'Balance Sheet - Continuing Ops'!N22+'Balance Sheet - Continuing Ops'!O22)/'Balance Sheet - Continuing Ops'!G22</f>
        <v>0.65978291121625399</v>
      </c>
      <c r="R24" s="187">
        <f>(+'Balance Sheet - Continuing Ops'!M22+'Balance Sheet - Continuing Ops'!I22)/('Balance Sheet - Continuing Ops'!R22+'Balance Sheet - Continuing Ops'!I22)</f>
        <v>0.45177939796433997</v>
      </c>
      <c r="S24" s="187">
        <f>('Balance Sheet - Continuing Ops'!M22+'Balance Sheet - Continuing Ops'!I22-'Balance Sheet - Continuing Ops'!B22)/('Balance Sheet - Continuing Ops'!R22+'Balance Sheet - Continuing Ops'!I22-'Balance Sheet - Continuing Ops'!B22)</f>
        <v>0.32327912675428833</v>
      </c>
      <c r="T24" s="180">
        <f>('Balance Sheet - Continuing Ops'!I22+'Balance Sheet - Continuing Ops'!M22)/'Income - Continuing Ops'!P54</f>
        <v>2.0593945376768672</v>
      </c>
      <c r="U24" s="180">
        <f>('Balance Sheet - Continuing Ops'!I22+'Balance Sheet - Continuing Ops'!M22-'Balance Sheet - Continuing Ops'!B22)/'Income - Continuing Ops'!P54</f>
        <v>1.1938137545245144</v>
      </c>
      <c r="V24" s="188">
        <f>+'Income - Continuing Ops'!F54/'Income - Continuing Ops'!G54</f>
        <v>11.078160919540231</v>
      </c>
      <c r="W24" s="236">
        <f>+'Income - Continuing Ops'!I54/('Income - Continuing Ops'!I54+'Income - Continuing Ops'!J54)</f>
        <v>0.2147982062780269</v>
      </c>
    </row>
    <row r="25" spans="1:23" ht="15.5" x14ac:dyDescent="0.35">
      <c r="A25" s="398" t="s">
        <v>236</v>
      </c>
      <c r="B25" s="177">
        <f>+'Balance Sheet - Continuing Ops'!E23/'Balance Sheet - Continuing Ops'!L23</f>
        <v>1.949491234522496</v>
      </c>
      <c r="C25" s="188">
        <f>('Income - Continuing Ops'!B55-'Income - Continuing Ops'!C55)/(('Balance Sheet - Continuing Ops'!D23+'Balance Sheet - Continuing Ops'!D22)/2)</f>
        <v>5.0985679463741622</v>
      </c>
      <c r="D25" s="181">
        <f>+'Income - Continuing Ops'!N55/'Income - Continuing Ops'!B55</f>
        <v>8.3873989928563084E-2</v>
      </c>
      <c r="E25" s="180">
        <f>+'Income - Continuing Ops'!B55/'Balance Sheet - Continuing Ops'!U23</f>
        <v>1.2128227707865809</v>
      </c>
      <c r="F25" s="181">
        <f t="shared" si="0"/>
        <v>0.10172428486208565</v>
      </c>
      <c r="G25" s="180">
        <f>+'Balance Sheet - Continuing Ops'!U23/'Balance Sheet - Continuing Ops'!V23</f>
        <v>2.898320434711017</v>
      </c>
      <c r="H25" s="190">
        <f t="shared" si="1"/>
        <v>0.29482957352214739</v>
      </c>
      <c r="I25" s="324">
        <f>(('Income - Continuing Ops'!Z55-'Income - Continuing Ops'!Z54)+'Income - Continuing Ops'!Y55)/'Income - Continuing Ops'!Z54</f>
        <v>-0.2176827990781478</v>
      </c>
      <c r="J25" s="386">
        <f>(('Income - Continuing Ops'!Z55+SUM('Income - Continuing Ops'!Y53:Y55))/'Income - Continuing Ops'!Z52)^(1/3)-1</f>
        <v>-1.5468895345421285E-2</v>
      </c>
      <c r="K25" s="181" t="e">
        <f>+('Income - Continuing Ops'!N55+'Income - Continuing Ops'!G55*(1-'Ratios - Continuing Ops'!W25))/'Balance Sheet - Historical'!#REF!</f>
        <v>#REF!</v>
      </c>
      <c r="L25" s="181" t="e">
        <f>+'Income - Continuing Ops'!F55/AVERAGE('Balance Sheet - Historical'!#REF!,'Balance Sheet - Historical'!#REF!)</f>
        <v>#REF!</v>
      </c>
      <c r="M25" s="181">
        <f>('Income - Continuing Ops'!F55*(1-'Ratios - Continuing Ops'!W25))/(('Balance Sheet - Continuing Ops'!Q23+'Balance Sheet - Continuing Ops'!P23+'Balance Sheet - Continuing Ops'!Q22+'Balance Sheet - Continuing Ops'!P22)/2)</f>
        <v>0.19594498255298182</v>
      </c>
      <c r="N25" s="180">
        <f>+'Income - Continuing Ops'!Z55/'Income - Continuing Ops'!W55</f>
        <v>13.531326445127055</v>
      </c>
      <c r="O25" s="181">
        <f>+'Income - Continuing Ops'!Y55/'Income - Continuing Ops'!Z55</f>
        <v>4.1852678571428568E-2</v>
      </c>
      <c r="P25" s="394">
        <f>+'Income - Continuing Ops'!Y55/'Income - Continuing Ops'!W55</f>
        <v>0.56632225635297384</v>
      </c>
      <c r="Q25" s="186">
        <f>('Balance Sheet - Continuing Ops'!L23+'Balance Sheet - Continuing Ops'!M23+'Balance Sheet - Continuing Ops'!N23+'Balance Sheet - Continuing Ops'!O23)/'Balance Sheet - Continuing Ops'!G23</f>
        <v>0.64995939204084008</v>
      </c>
      <c r="R25" s="187"/>
      <c r="S25" s="187"/>
      <c r="T25" s="180">
        <f>('Balance Sheet - Continuing Ops'!I23+'Balance Sheet - Continuing Ops'!M23)/'Income - Continuing Ops'!P55</f>
        <v>1.8299937382592359</v>
      </c>
      <c r="U25" s="180">
        <f>('Balance Sheet - Continuing Ops'!I23+'Balance Sheet - Continuing Ops'!M23-'Balance Sheet - Continuing Ops'!B23)/'Income - Continuing Ops'!P55</f>
        <v>1.4103005635566686</v>
      </c>
      <c r="V25" s="188">
        <f>+'Income - Continuing Ops'!F55/'Income - Continuing Ops'!G55</f>
        <v>8.6972318339100365</v>
      </c>
      <c r="W25" s="236">
        <f>+'Income - Continuing Ops'!I55/('Income - Continuing Ops'!I55+'Income - Continuing Ops'!J55)</f>
        <v>0.20957423339951461</v>
      </c>
    </row>
    <row r="26" spans="1:23" ht="15.5" x14ac:dyDescent="0.35">
      <c r="A26" s="398" t="s">
        <v>237</v>
      </c>
      <c r="B26" s="177">
        <f>+'Balance Sheet - Continuing Ops'!E24/'Balance Sheet - Continuing Ops'!L24</f>
        <v>1.6992780950328632</v>
      </c>
      <c r="C26" s="188">
        <f>('Income - Continuing Ops'!B56-'Income - Continuing Ops'!C56)/(('Balance Sheet - Continuing Ops'!D24+'Balance Sheet - Continuing Ops'!D23)/2)</f>
        <v>5.4301919720767886</v>
      </c>
      <c r="D26" s="181">
        <f>+'Income - Continuing Ops'!N56/'Income - Continuing Ops'!B56</f>
        <v>6.81956864807996E-2</v>
      </c>
      <c r="E26" s="180">
        <f>+'Income - Continuing Ops'!B56/'Balance Sheet - Continuing Ops'!U24</f>
        <v>1.1447669517042034</v>
      </c>
      <c r="F26" s="181">
        <f t="shared" si="0"/>
        <v>7.8068168132000515E-2</v>
      </c>
      <c r="G26" s="180">
        <f>+'Balance Sheet - Continuing Ops'!U24/'Balance Sheet - Continuing Ops'!V24</f>
        <v>3.2577392396123503</v>
      </c>
      <c r="H26" s="190">
        <f t="shared" si="1"/>
        <v>0.25432573468827246</v>
      </c>
      <c r="I26" s="324">
        <f>(('Income - Continuing Ops'!Z56-'Income - Continuing Ops'!Z55)+'Income - Continuing Ops'!Y56)/'Income - Continuing Ops'!Z55</f>
        <v>0.46233258928571402</v>
      </c>
      <c r="J26" s="386">
        <f>(('Income - Continuing Ops'!Z56+SUM('Income - Continuing Ops'!Y54:Y56))/'Income - Continuing Ops'!Z53)^(1/3)-1</f>
        <v>4.2181015307549696E-2</v>
      </c>
      <c r="K26" s="181"/>
      <c r="L26" s="181"/>
      <c r="M26" s="181">
        <f>('Income - Continuing Ops'!F56*(1-'Ratios - Continuing Ops'!W26))/(('Balance Sheet - Continuing Ops'!Q24+'Balance Sheet - Continuing Ops'!P24+'Balance Sheet - Continuing Ops'!Q23+'Balance Sheet - Continuing Ops'!P23+'Balance Sheet - Continuing Ops'!J24+'Balance Sheet - Continuing Ops'!N24+'Balance Sheet - Continuing Ops'!J23+'Balance Sheet - Continuing Ops'!N23)/2)</f>
        <v>0.14207515269902607</v>
      </c>
      <c r="N26" s="180">
        <f>+'Income - Continuing Ops'!Z56/'Income - Continuing Ops'!W56</f>
        <v>21.23536562789262</v>
      </c>
      <c r="O26" s="181">
        <f>+'Income - Continuing Ops'!Y56/'Income - Continuing Ops'!Z56</f>
        <v>3.108400550855794E-2</v>
      </c>
      <c r="P26" s="394">
        <f>+'Income - Continuing Ops'!Y56/'Income - Continuing Ops'!W56</f>
        <v>0.66008022215365614</v>
      </c>
      <c r="Q26" s="186">
        <f>('Balance Sheet - Continuing Ops'!L24+'Balance Sheet - Continuing Ops'!M24+'Balance Sheet - Continuing Ops'!N24+'Balance Sheet - Continuing Ops'!O24)/'Balance Sheet - Continuing Ops'!G24</f>
        <v>0.7236273015611483</v>
      </c>
      <c r="R26" s="187"/>
      <c r="S26" s="187"/>
      <c r="T26" s="180">
        <f>('Balance Sheet - Continuing Ops'!I24+'Balance Sheet - Continuing Ops'!M24)/'Income - Continuing Ops'!P56</f>
        <v>3.0694303522249595</v>
      </c>
      <c r="U26" s="180">
        <f>('Balance Sheet - Continuing Ops'!I24+'Balance Sheet - Continuing Ops'!M24-'Balance Sheet - Continuing Ops'!B24)/'Income - Continuing Ops'!P56</f>
        <v>2.7105377590955206</v>
      </c>
      <c r="V26" s="188">
        <f>+'Income - Continuing Ops'!F56/'Income - Continuing Ops'!G56</f>
        <v>5.4906284454244778</v>
      </c>
      <c r="W26" s="236">
        <f>+'Income - Continuing Ops'!I56/('Income - Continuing Ops'!I56+'Income - Continuing Ops'!J56)</f>
        <v>0.21823004581625269</v>
      </c>
    </row>
    <row r="27" spans="1:23" ht="15.5" x14ac:dyDescent="0.35">
      <c r="A27" s="409" t="s">
        <v>238</v>
      </c>
      <c r="B27" s="191">
        <f>+'Balance Sheet - Continuing Ops'!E25/'Balance Sheet - Continuing Ops'!L25</f>
        <v>1.648210735586481</v>
      </c>
      <c r="C27" s="192">
        <f>('Income - Continuing Ops'!B57-'Income - Continuing Ops'!C57)/(('Balance Sheet - Continuing Ops'!D25+'Balance Sheet - Continuing Ops'!D24)/2)</f>
        <v>4.9379754242246925</v>
      </c>
      <c r="D27" s="195">
        <f>+'Income - Continuing Ops'!N57/'Income - Continuing Ops'!B57</f>
        <v>6.8641652259240238E-2</v>
      </c>
      <c r="E27" s="194">
        <f>+'Income - Continuing Ops'!B57/'Balance Sheet - Continuing Ops'!U25</f>
        <v>0.88659195890382569</v>
      </c>
      <c r="F27" s="195">
        <f t="shared" si="0"/>
        <v>6.0857136938915014E-2</v>
      </c>
      <c r="G27" s="194">
        <f>+'Balance Sheet - Continuing Ops'!U25/'Balance Sheet - Continuing Ops'!V25</f>
        <v>3.4894831947958069</v>
      </c>
      <c r="H27" s="196">
        <f t="shared" si="1"/>
        <v>0.21235995663173107</v>
      </c>
      <c r="I27" s="291">
        <f>(('Income - Continuing Ops'!Z57-'Income - Continuing Ops'!Z56)+'Income - Continuing Ops'!Y57)/'Income - Continuing Ops'!Z56</f>
        <v>-9.6989966555183979E-2</v>
      </c>
      <c r="J27" s="387">
        <f>(('Income - Continuing Ops'!Z57+SUM('Income - Continuing Ops'!Y55:Y57))/'Income - Continuing Ops'!Z54)^(1/3)-1</f>
        <v>8.6545427047390877E-3</v>
      </c>
      <c r="K27" s="195"/>
      <c r="L27" s="195"/>
      <c r="M27" s="195">
        <f>('Income - Continuing Ops'!F57*(1-'Ratios - Continuing Ops'!W27))/(('Balance Sheet - Continuing Ops'!Q25+'Balance Sheet - Continuing Ops'!P25+'Balance Sheet - Continuing Ops'!Q24+'Balance Sheet - Continuing Ops'!P24+'Balance Sheet - Continuing Ops'!J25+'Balance Sheet - Continuing Ops'!N25+'Balance Sheet - Continuing Ops'!J24+'Balance Sheet - Continuing Ops'!N24)/2)</f>
        <v>0.10949318140652578</v>
      </c>
      <c r="N27" s="194">
        <f>+'Income - Continuing Ops'!Z57/'Income - Continuing Ops'!W57</f>
        <v>20.491388699795774</v>
      </c>
      <c r="O27" s="195">
        <f>+'Income - Continuing Ops'!Y57/'Income - Continuing Ops'!Z57</f>
        <v>3.611738148984199E-2</v>
      </c>
      <c r="P27" s="395">
        <f>+'Income - Continuing Ops'!Y57/'Income - Continuing Ops'!W57</f>
        <v>0.74009530292716119</v>
      </c>
      <c r="Q27" s="198">
        <f>('Balance Sheet - Continuing Ops'!L25+'Balance Sheet - Continuing Ops'!M25+'Balance Sheet - Continuing Ops'!N25+'Balance Sheet - Continuing Ops'!O25)/'Balance Sheet - Continuing Ops'!G25</f>
        <v>0.70310416666666664</v>
      </c>
      <c r="R27" s="197"/>
      <c r="S27" s="197"/>
      <c r="T27" s="194">
        <f>('Balance Sheet - Continuing Ops'!I25+'Balance Sheet - Continuing Ops'!M25)/'Income - Continuing Ops'!P57</f>
        <v>2.9593521258370972</v>
      </c>
      <c r="U27" s="194">
        <f>('Balance Sheet - Continuing Ops'!I25+'Balance Sheet - Continuing Ops'!M25-'Balance Sheet - Continuing Ops'!B25)/'Income - Continuing Ops'!P57</f>
        <v>2.4159788194985206</v>
      </c>
      <c r="V27" s="192">
        <f>+'Income - Continuing Ops'!F57/'Income - Continuing Ops'!G57</f>
        <v>5.474002418379686</v>
      </c>
      <c r="W27" s="237">
        <f>+'Income - Continuing Ops'!I57/('Income - Continuing Ops'!I57+'Income - Continuing Ops'!J57)</f>
        <v>0.21227552934870003</v>
      </c>
    </row>
    <row r="28" spans="1:23" ht="15.5" x14ac:dyDescent="0.35">
      <c r="A28" s="398">
        <v>2021</v>
      </c>
      <c r="B28" s="177">
        <f>+'Balance Sheet - Continuing Ops'!E26/'Balance Sheet - Continuing Ops'!L26</f>
        <v>1.5462304409672831</v>
      </c>
      <c r="C28" s="188">
        <f>('Income - Continuing Ops'!B58-'Income - Continuing Ops'!C58)/(('Balance Sheet - Continuing Ops'!D26+'Balance Sheet - Continuing Ops'!D25)/2)</f>
        <v>4.7893393482519144</v>
      </c>
      <c r="D28" s="181">
        <f>+'Income - Continuing Ops'!N58/'Income - Continuing Ops'!B58</f>
        <v>7.5148838859756331E-2</v>
      </c>
      <c r="E28" s="180">
        <f>+'Income - Continuing Ops'!B58/'Balance Sheet - Continuing Ops'!U26</f>
        <v>1.0037497650213214</v>
      </c>
      <c r="F28" s="181">
        <f t="shared" si="0"/>
        <v>7.5430629347105566E-2</v>
      </c>
      <c r="G28" s="180">
        <f>+'Balance Sheet - Continuing Ops'!U26/'Balance Sheet - Continuing Ops'!V26</f>
        <v>3.2883170120701424</v>
      </c>
      <c r="H28" s="190">
        <f t="shared" si="1"/>
        <v>0.24803982171324457</v>
      </c>
      <c r="I28" s="324">
        <f>(('Income - Continuing Ops'!Z58-'Income - Continuing Ops'!Z57)+'Income - Continuing Ops'!Y58)/'Income - Continuing Ops'!Z57</f>
        <v>-3.3408577878103855E-2</v>
      </c>
      <c r="J28" s="386">
        <f>(('Income - Continuing Ops'!Z58+SUM('Income - Continuing Ops'!Y56:Y58))/'Income - Continuing Ops'!Z55)^(1/3)-1</f>
        <v>8.6750737440570713E-2</v>
      </c>
      <c r="K28" s="181"/>
      <c r="L28" s="181"/>
      <c r="M28" s="181">
        <f>('Income - Continuing Ops'!F58*(1-'Ratios - Continuing Ops'!W28))/(('Balance Sheet - Continuing Ops'!Q26+'Balance Sheet - Continuing Ops'!P26+'Balance Sheet - Continuing Ops'!Q25+'Balance Sheet - Continuing Ops'!P25+'Balance Sheet - Continuing Ops'!J26+'Balance Sheet - Continuing Ops'!N26+'Balance Sheet - Continuing Ops'!J25+'Balance Sheet - Continuing Ops'!N25)/2)</f>
        <v>0.1305816722547451</v>
      </c>
      <c r="N28" s="180">
        <f>+'Income - Continuing Ops'!Z58/'Income - Continuing Ops'!W58</f>
        <v>14.81327846711581</v>
      </c>
      <c r="O28" s="181">
        <f>+'Income - Continuing Ops'!Y58/'Income - Continuing Ops'!Z58</f>
        <v>4.0330417881438291E-2</v>
      </c>
      <c r="P28" s="394">
        <f>+'Income - Continuing Ops'!Y58/'Income - Continuing Ops'!W58</f>
        <v>0.59742571077289219</v>
      </c>
      <c r="Q28" s="186">
        <f>('Balance Sheet - Continuing Ops'!L26+'Balance Sheet - Continuing Ops'!M26+'Balance Sheet - Continuing Ops'!N26+'Balance Sheet - Continuing Ops'!O26)/'Balance Sheet - Continuing Ops'!G26</f>
        <v>0.68937124338175726</v>
      </c>
      <c r="R28" s="187"/>
      <c r="S28" s="187"/>
      <c r="T28" s="180">
        <f>('Balance Sheet - Continuing Ops'!I26+'Balance Sheet - Continuing Ops'!M26)/'Income - Continuing Ops'!P58</f>
        <v>2.7682426168719378</v>
      </c>
      <c r="U28" s="180">
        <f>('Balance Sheet - Continuing Ops'!I26+'Balance Sheet - Continuing Ops'!M26-'Balance Sheet - Continuing Ops'!B26)/'Income - Continuing Ops'!P58</f>
        <v>2.2892332141438225</v>
      </c>
      <c r="V28" s="188">
        <f>+'Income - Continuing Ops'!F58/'Income - Continuing Ops'!G58</f>
        <v>7.4222222222222216</v>
      </c>
      <c r="W28" s="236">
        <f>+'Income - Continuing Ops'!I58/('Income - Continuing Ops'!I58+'Income - Continuing Ops'!J58)</f>
        <v>0.22777890261186476</v>
      </c>
    </row>
    <row r="29" spans="1:23" ht="15.5" x14ac:dyDescent="0.35">
      <c r="A29" s="398">
        <v>2022</v>
      </c>
      <c r="B29" s="177">
        <f>+'Balance Sheet - Continuing Ops'!E27/'Balance Sheet - Continuing Ops'!L27</f>
        <v>2.0225183348827604</v>
      </c>
      <c r="C29" s="188">
        <f>('Income - Continuing Ops'!B59-'Income - Continuing Ops'!C59)/(('Balance Sheet - Continuing Ops'!D27+'Balance Sheet - Continuing Ops'!D26)/2)</f>
        <v>4.3877518808859888</v>
      </c>
      <c r="D29" s="181">
        <f>+'Income - Continuing Ops'!N59/'Income - Continuing Ops'!B59</f>
        <v>6.0193910661200382E-2</v>
      </c>
      <c r="E29" s="180">
        <f>+'Income - Continuing Ops'!B59/'Balance Sheet - Continuing Ops'!U27</f>
        <v>0.98094040063277854</v>
      </c>
      <c r="F29" s="181">
        <f t="shared" si="0"/>
        <v>5.9046638839651583E-2</v>
      </c>
      <c r="G29" s="180">
        <f>+'Balance Sheet - Continuing Ops'!U27/'Balance Sheet - Continuing Ops'!V27</f>
        <v>3.1894832826747717</v>
      </c>
      <c r="H29" s="190">
        <f t="shared" si="1"/>
        <v>0.1883282674772036</v>
      </c>
      <c r="I29" s="324">
        <f>(('Income - Continuing Ops'!Z59-'Income - Continuing Ops'!Z58)+'Income - Continuing Ops'!Y59)/'Income - Continuing Ops'!Z58</f>
        <v>-0.17468415937803694</v>
      </c>
      <c r="J29" s="386">
        <f>(('Income - Continuing Ops'!Z59+SUM('Income - Continuing Ops'!Y57:Y59))/'Income - Continuing Ops'!Z56)^(1/3)-1</f>
        <v>-9.8585979334304463E-2</v>
      </c>
      <c r="K29" s="181"/>
      <c r="L29" s="181"/>
      <c r="M29" s="181">
        <f>('Income - Continuing Ops'!F59*(1-'Ratios - Continuing Ops'!W29))/(('Balance Sheet - Continuing Ops'!Q27+'Balance Sheet - Continuing Ops'!P27+'Balance Sheet - Continuing Ops'!Q26+'Balance Sheet - Continuing Ops'!P26+'Balance Sheet - Continuing Ops'!J27+'Balance Sheet - Continuing Ops'!N27+'Balance Sheet - Continuing Ops'!J26+'Balance Sheet - Continuing Ops'!N26)/2)</f>
        <v>0.1036422444992824</v>
      </c>
      <c r="N29" s="180">
        <f>+'Income - Continuing Ops'!Z59/'Income - Continuing Ops'!W59</f>
        <v>14.200758553905745</v>
      </c>
      <c r="O29" s="181">
        <f>+'Income - Continuing Ops'!Y59/'Income - Continuing Ops'!Z59</f>
        <v>5.3986968662736584E-2</v>
      </c>
      <c r="P29" s="394">
        <f>+'Income - Continuing Ops'!Y59/'Income - Continuing Ops'!W59</f>
        <v>0.76665590703679798</v>
      </c>
      <c r="Q29" s="186">
        <f>('Balance Sheet - Continuing Ops'!L27+'Balance Sheet - Continuing Ops'!M27+'Balance Sheet - Continuing Ops'!N27+'Balance Sheet - Continuing Ops'!O27)/'Balance Sheet - Continuing Ops'!G27</f>
        <v>0.68350012533503013</v>
      </c>
      <c r="R29" s="187"/>
      <c r="S29" s="187"/>
      <c r="T29" s="180">
        <f>('Balance Sheet - Continuing Ops'!I27+'Balance Sheet - Continuing Ops'!M27)/'Income - Continuing Ops'!P59</f>
        <v>3.1341756919374251</v>
      </c>
      <c r="U29" s="180">
        <f>('Balance Sheet - Continuing Ops'!I27+'Balance Sheet - Continuing Ops'!M27-'Balance Sheet - Continuing Ops'!B27)/'Income - Continuing Ops'!P59</f>
        <v>2.6580926594464502</v>
      </c>
      <c r="V29" s="188">
        <f>+'Income - Continuing Ops'!F59/'Income - Continuing Ops'!G59</f>
        <v>5.6725146198830405</v>
      </c>
      <c r="W29" s="236">
        <f>+'Income - Continuing Ops'!I59/('Income - Continuing Ops'!I59+'Income - Continuing Ops'!J59)</f>
        <v>0.23216055500495539</v>
      </c>
    </row>
    <row r="30" spans="1:23" ht="15.5" x14ac:dyDescent="0.35">
      <c r="A30" s="398">
        <v>2023</v>
      </c>
      <c r="B30" s="177">
        <f>+'Balance Sheet - Continuing Ops'!E28/'Balance Sheet - Continuing Ops'!L28</f>
        <v>1.490099794075717</v>
      </c>
      <c r="C30" s="188">
        <f>('Income - Continuing Ops'!B60-'Income - Continuing Ops'!C60)/(('Balance Sheet - Continuing Ops'!D28+'Balance Sheet - Continuing Ops'!D27)/2)</f>
        <v>4.4829782306623436</v>
      </c>
      <c r="D30" s="181">
        <f>+'Income - Continuing Ops'!N60/'Income - Continuing Ops'!B60</f>
        <v>4.0018623156201721E-2</v>
      </c>
      <c r="E30" s="180">
        <f>+'Income - Continuing Ops'!B60/'Balance Sheet - Continuing Ops'!U28</f>
        <v>0.96232409425086041</v>
      </c>
      <c r="F30" s="181">
        <f t="shared" si="0"/>
        <v>3.8510885281958333E-2</v>
      </c>
      <c r="G30" s="180">
        <f>+'Balance Sheet - Continuing Ops'!U28/'Balance Sheet - Continuing Ops'!V28</f>
        <v>3.3005982388922495</v>
      </c>
      <c r="H30" s="190">
        <f t="shared" si="1"/>
        <v>0.12710896013981313</v>
      </c>
      <c r="I30" s="324">
        <f>(('Income - Continuing Ops'!Z60-'Income - Continuing Ops'!Z59)+'Income - Continuing Ops'!Y60)/'Income - Continuing Ops'!Z59</f>
        <v>-0.13155445237356486</v>
      </c>
      <c r="J30" s="386">
        <f>(('Income - Continuing Ops'!Z60+SUM('Income - Continuing Ops'!Y58:Y60))/'Income - Continuing Ops'!Z57)^(1/3)-1</f>
        <v>-0.10848388782256924</v>
      </c>
      <c r="K30" s="181"/>
      <c r="L30" s="181"/>
      <c r="M30" s="181">
        <f>('Income - Continuing Ops'!F60*(1-'Ratios - Continuing Ops'!W30))/(('Balance Sheet - Continuing Ops'!Q28+'Balance Sheet - Continuing Ops'!P28+'Balance Sheet - Continuing Ops'!Q27+'Balance Sheet - Continuing Ops'!P27+'Balance Sheet - Continuing Ops'!J28+'Balance Sheet - Continuing Ops'!N28+'Balance Sheet - Continuing Ops'!J27+'Balance Sheet - Continuing Ops'!N27)/2)</f>
        <v>7.4313596996104445E-2</v>
      </c>
      <c r="N30" s="180">
        <f>+'Income - Continuing Ops'!Z60/'Income - Continuing Ops'!W60</f>
        <v>18.827338129496404</v>
      </c>
      <c r="O30" s="181">
        <f>+'Income - Continuing Ops'!Y60/'Income - Continuing Ops'!Z60</f>
        <v>6.9545280855941916E-2</v>
      </c>
      <c r="P30" s="394">
        <f>+'Income - Continuing Ops'!Y60/'Income - Continuing Ops'!W60</f>
        <v>1.3093525179856116</v>
      </c>
      <c r="Q30" s="186">
        <f>('Balance Sheet - Continuing Ops'!L28+'Balance Sheet - Continuing Ops'!M28+'Balance Sheet - Continuing Ops'!N28+'Balance Sheet - Continuing Ops'!O28)/'Balance Sheet - Continuing Ops'!G28</f>
        <v>0.71215880893300243</v>
      </c>
      <c r="R30" s="187"/>
      <c r="S30" s="187"/>
      <c r="T30" s="180">
        <f>('Balance Sheet - Continuing Ops'!I28+'Balance Sheet - Continuing Ops'!M28)/'Income - Continuing Ops'!P60</f>
        <v>3.8714452668484611</v>
      </c>
      <c r="U30" s="180">
        <f>('Balance Sheet - Continuing Ops'!I28+'Balance Sheet - Continuing Ops'!M28-'Balance Sheet - Continuing Ops'!B28)/'Income - Continuing Ops'!P60</f>
        <v>3.1595247370471369</v>
      </c>
      <c r="V30" s="188">
        <f>+'Income - Continuing Ops'!F60/'Income - Continuing Ops'!G60</f>
        <v>3.7726244343891402</v>
      </c>
      <c r="W30" s="236">
        <f>+'Income - Continuing Ops'!I60/('Income - Continuing Ops'!I60+'Income - Continuing Ops'!J60)</f>
        <v>0.24510978043912174</v>
      </c>
    </row>
    <row r="31" spans="1:23" ht="15.5" x14ac:dyDescent="0.35">
      <c r="A31" s="60">
        <v>2024</v>
      </c>
      <c r="B31" s="177">
        <f>+'Balance Sheet - Continuing Ops'!E29/'Balance Sheet - Continuing Ops'!L29</f>
        <v>1.9972826086956519</v>
      </c>
      <c r="C31" s="188">
        <f>('Income - Continuing Ops'!B61-'Income - Continuing Ops'!C61)/(('Balance Sheet - Continuing Ops'!D29+'Balance Sheet - Continuing Ops'!D28)/2)</f>
        <v>4.6959735460027225</v>
      </c>
      <c r="D31" s="181">
        <f>+'Income - Continuing Ops'!N61/'Income - Continuing Ops'!B61</f>
        <v>3.2895337165799794E-2</v>
      </c>
      <c r="E31" s="180">
        <f>+'Income - Continuing Ops'!B61/'Balance Sheet - Continuing Ops'!U29</f>
        <v>1.0567857185906633</v>
      </c>
      <c r="F31" s="181">
        <f>+D31*E31</f>
        <v>3.4763322525041891E-2</v>
      </c>
      <c r="G31" s="180">
        <f>+'Balance Sheet - Continuing Ops'!U29/'Balance Sheet - Continuing Ops'!V29</f>
        <v>4.0984586503309952</v>
      </c>
      <c r="H31" s="449">
        <f>+F31*G31</f>
        <v>0.14247603991700428</v>
      </c>
      <c r="I31" s="324">
        <f>(('Income - Continuing Ops'!Z61-'Income - Continuing Ops'!Z60)+'Income - Continuing Ops'!Y61)/'Income - Continuing Ops'!Z60</f>
        <v>-0.60985861673672148</v>
      </c>
      <c r="J31" s="386">
        <f>(('Income - Continuing Ops'!Z61+SUM('Income - Continuing Ops'!Y59:Y61))/'Income - Continuing Ops'!Z58)^(1/3)-1</f>
        <v>-0.30579747115482492</v>
      </c>
      <c r="K31" s="181"/>
      <c r="L31" s="181"/>
      <c r="M31" s="181">
        <f>('Income - Continuing Ops'!F61*(1-'Ratios - Continuing Ops'!W31))/(('Balance Sheet - Continuing Ops'!Q29+'Balance Sheet - Continuing Ops'!P29+'Balance Sheet - Continuing Ops'!Q28+'Balance Sheet - Continuing Ops'!P28+'Balance Sheet - Continuing Ops'!J29+'Balance Sheet - Continuing Ops'!N29+'Balance Sheet - Continuing Ops'!J28+'Balance Sheet - Continuing Ops'!N28)/2)</f>
        <v>7.3994446945820191E-2</v>
      </c>
      <c r="N31" s="180">
        <f>+'Income - Continuing Ops'!Z61/'Income - Continuing Ops'!W61</f>
        <v>9.1406380027739278</v>
      </c>
      <c r="O31" s="181">
        <f>+'Income - Continuing Ops'!Y61/'Income - Continuing Ops'!Z61</f>
        <v>6.3541666666666663E-2</v>
      </c>
      <c r="P31" s="450">
        <f>+'Income - Continuing Ops'!Y61/'Income - Continuing Ops'!W61</f>
        <v>0.58081137309292663</v>
      </c>
      <c r="Q31" s="186">
        <f>('Balance Sheet - Continuing Ops'!L29+'Balance Sheet - Continuing Ops'!M29+'Balance Sheet - Continuing Ops'!N29+'Balance Sheet - Continuing Ops'!O29)/'Balance Sheet - Continuing Ops'!G29</f>
        <v>0.81150316801398303</v>
      </c>
      <c r="R31" s="187"/>
      <c r="S31" s="187"/>
      <c r="T31" s="180">
        <f>('Balance Sheet - Continuing Ops'!I29+'Balance Sheet - Continuing Ops'!M29)/'Income - Continuing Ops'!P61</f>
        <v>4.6313043478260871</v>
      </c>
      <c r="U31" s="180">
        <f>('Balance Sheet - Continuing Ops'!I29+'Balance Sheet - Continuing Ops'!M29-'Balance Sheet - Continuing Ops'!B29)/'Income - Continuing Ops'!P61</f>
        <v>3.7612422360248443</v>
      </c>
      <c r="V31" s="448">
        <f>+'Income - Continuing Ops'!F61/'Income - Continuing Ops'!G61</f>
        <v>3.1024447031431897</v>
      </c>
      <c r="W31" s="451">
        <f>+'Income - Continuing Ops'!I61/('Income - Continuing Ops'!I61+'Income - Continuing Ops'!J61)</f>
        <v>0.22916666666666669</v>
      </c>
    </row>
    <row r="32" spans="1:23" ht="15.5" x14ac:dyDescent="0.35">
      <c r="A32" s="60">
        <v>2025</v>
      </c>
      <c r="B32" s="177">
        <f>+'Balance Sheet - Continuing Ops'!E30/'Balance Sheet - Continuing Ops'!L30</f>
        <v>2.2498064516129035</v>
      </c>
      <c r="C32" s="188">
        <f>('Income - Continuing Ops'!B62-'Income - Continuing Ops'!C62)/(('Balance Sheet - Continuing Ops'!D30+'Balance Sheet - Continuing Ops'!D29)/2)</f>
        <v>4.9173357121617594</v>
      </c>
      <c r="D32" s="181">
        <f>+'Income - Continuing Ops'!N62/'Income - Continuing Ops'!B62</f>
        <v>3.5979383985598377E-2</v>
      </c>
      <c r="E32" s="180">
        <f>+'Income - Continuing Ops'!B62/'Balance Sheet - Continuing Ops'!U30</f>
        <v>1.1267296471242012</v>
      </c>
      <c r="F32" s="181">
        <f>+D32*E32</f>
        <v>4.0539038621839399E-2</v>
      </c>
      <c r="G32" s="180">
        <f>+'Balance Sheet - Continuing Ops'!U30/'Balance Sheet - Continuing Ops'!V30</f>
        <v>4.2024754787482488</v>
      </c>
      <c r="H32" s="449">
        <f>+F32*G32</f>
        <v>0.17036431574030828</v>
      </c>
      <c r="I32" s="324">
        <f>(('Income - Continuing Ops'!Z62-'Income - Continuing Ops'!Z61)+'Income - Continuing Ops'!Y62)/'Income - Continuing Ops'!Z61</f>
        <v>0.16666666666666671</v>
      </c>
      <c r="J32" s="386">
        <f>(('Income - Continuing Ops'!Z62+SUM('Income - Continuing Ops'!Y60:Y62))/'Income - Continuing Ops'!Z59)^(1/3)-1</f>
        <v>-0.24939431375193055</v>
      </c>
      <c r="K32" s="181"/>
      <c r="L32" s="181"/>
      <c r="M32" s="181">
        <f>('Income - Continuing Ops'!F62*(1-'Ratios - Continuing Ops'!W32))/(('Balance Sheet - Continuing Ops'!Q30+'Balance Sheet - Continuing Ops'!P30+'Balance Sheet - Continuing Ops'!Q29+'Balance Sheet - Continuing Ops'!P29+'Balance Sheet - Continuing Ops'!J30+'Balance Sheet - Continuing Ops'!N30+'Balance Sheet - Continuing Ops'!J29+'Balance Sheet - Continuing Ops'!N29)/2)</f>
        <v>8.7105069049934328E-2</v>
      </c>
      <c r="N32" s="180">
        <f>+'Income - Continuing Ops'!Z62/'Income - Continuing Ops'!W62</f>
        <v>10.432663258586395</v>
      </c>
      <c r="O32" s="181">
        <f>+'Income - Continuing Ops'!Y62/'Income - Continuing Ops'!Z62</f>
        <v>1.8181818181818184E-2</v>
      </c>
      <c r="P32" s="450">
        <f>+'Income - Continuing Ops'!Y62/'Income - Continuing Ops'!W62</f>
        <v>0.18968478651975262</v>
      </c>
      <c r="Q32" s="186">
        <f>('Balance Sheet - Continuing Ops'!L30+'Balance Sheet - Continuing Ops'!M30+'Balance Sheet - Continuing Ops'!N30+'Balance Sheet - Continuing Ops'!O30)/'Balance Sheet - Continuing Ops'!G30</f>
        <v>0.71083587829431039</v>
      </c>
      <c r="R32" s="187"/>
      <c r="S32" s="187"/>
      <c r="T32" s="180">
        <f>('Balance Sheet - Continuing Ops'!I30+'Balance Sheet - Continuing Ops'!M30)/'Income - Continuing Ops'!P62</f>
        <v>3.8871009602906832</v>
      </c>
      <c r="U32" s="180">
        <f>('Balance Sheet - Continuing Ops'!I30+'Balance Sheet - Continuing Ops'!M30-'Balance Sheet - Continuing Ops'!B30)/'Income - Continuing Ops'!P62</f>
        <v>2.3625746171814175</v>
      </c>
      <c r="V32" s="448">
        <f>+'Income - Continuing Ops'!F62/'Income - Continuing Ops'!G62</f>
        <v>3.6063100137174207</v>
      </c>
      <c r="W32" s="451">
        <f>+'Income - Continuing Ops'!I62/('Income - Continuing Ops'!I62+'Income - Continuing Ops'!J62)</f>
        <v>0.25788402848423198</v>
      </c>
    </row>
    <row r="33" spans="1:30" ht="6" customHeight="1" x14ac:dyDescent="0.25">
      <c r="A33" s="2"/>
      <c r="B33" s="2"/>
      <c r="C33" s="2"/>
      <c r="D33" s="2"/>
      <c r="E33" s="2"/>
      <c r="F33" s="2"/>
      <c r="G33" s="2"/>
      <c r="H33" s="20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30" ht="15" customHeight="1" x14ac:dyDescent="0.25">
      <c r="A34" s="2"/>
      <c r="B34" s="2"/>
      <c r="C34" s="2"/>
      <c r="D34" s="2"/>
      <c r="E34" s="2"/>
      <c r="F34" s="2"/>
      <c r="G34" s="2"/>
      <c r="H34" s="20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30" ht="15" customHeight="1" x14ac:dyDescent="0.35">
      <c r="A35" s="356" t="s">
        <v>203</v>
      </c>
      <c r="B35" s="357"/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  <c r="X35" s="361"/>
      <c r="Y35" s="361"/>
      <c r="Z35" s="361"/>
      <c r="AA35" s="361"/>
      <c r="AB35" s="361"/>
      <c r="AC35" s="361"/>
      <c r="AD35" s="362"/>
    </row>
    <row r="36" spans="1:30" ht="15" customHeight="1" x14ac:dyDescent="0.35">
      <c r="A36" s="356" t="s">
        <v>208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7"/>
      <c r="W36" s="357"/>
      <c r="X36" s="361"/>
      <c r="Y36" s="361"/>
      <c r="Z36" s="361"/>
      <c r="AA36" s="361"/>
      <c r="AB36" s="361"/>
      <c r="AC36" s="361"/>
      <c r="AD36" s="362"/>
    </row>
    <row r="37" spans="1:30" ht="15" customHeight="1" x14ac:dyDescent="0.35">
      <c r="A37" s="356" t="s">
        <v>205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357"/>
      <c r="T37" s="357"/>
      <c r="U37" s="357"/>
      <c r="V37" s="357"/>
      <c r="W37" s="357"/>
      <c r="X37" s="361"/>
      <c r="Y37" s="361"/>
      <c r="Z37" s="361"/>
      <c r="AA37" s="361"/>
      <c r="AB37" s="361"/>
      <c r="AC37" s="361"/>
      <c r="AD37" s="362"/>
    </row>
    <row r="38" spans="1:30" ht="15" customHeight="1" x14ac:dyDescent="0.35">
      <c r="A38" s="356" t="s">
        <v>210</v>
      </c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357"/>
      <c r="X38" s="361"/>
      <c r="Y38" s="361"/>
      <c r="Z38" s="361"/>
      <c r="AA38" s="361"/>
      <c r="AB38" s="361"/>
      <c r="AC38" s="361"/>
      <c r="AD38" s="362"/>
    </row>
    <row r="39" spans="1:30" ht="15" customHeight="1" x14ac:dyDescent="0.35">
      <c r="A39" s="363"/>
      <c r="B39" s="361"/>
      <c r="C39" s="361"/>
      <c r="D39" s="361"/>
      <c r="E39" s="361"/>
      <c r="F39" s="361"/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1"/>
      <c r="AB39" s="361"/>
      <c r="AC39" s="361"/>
      <c r="AD39" s="362"/>
    </row>
    <row r="40" spans="1:30" ht="16.5" x14ac:dyDescent="0.35">
      <c r="A40" s="548" t="s">
        <v>255</v>
      </c>
      <c r="B40" s="548"/>
      <c r="C40" s="548"/>
      <c r="D40" s="548"/>
      <c r="E40" s="548"/>
      <c r="F40" s="548"/>
      <c r="G40" s="548"/>
      <c r="H40" s="548"/>
      <c r="I40" s="548"/>
      <c r="J40" s="548"/>
      <c r="K40" s="548"/>
      <c r="L40" s="548"/>
      <c r="M40" s="548"/>
      <c r="N40" s="548"/>
      <c r="O40" s="548"/>
      <c r="P40" s="548"/>
      <c r="Q40" s="548"/>
      <c r="R40" s="548"/>
      <c r="S40" s="548"/>
      <c r="T40" s="548"/>
      <c r="U40" s="548"/>
      <c r="V40" s="548"/>
      <c r="W40" s="548"/>
      <c r="X40" s="361"/>
      <c r="Y40" s="361"/>
      <c r="Z40" s="361"/>
      <c r="AA40" s="361"/>
      <c r="AB40" s="361"/>
      <c r="AC40" s="361"/>
      <c r="AD40" s="362"/>
    </row>
    <row r="41" spans="1:30" ht="15" customHeight="1" x14ac:dyDescent="0.35">
      <c r="A41" s="363"/>
      <c r="B41" s="361"/>
      <c r="C41" s="361"/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2"/>
    </row>
    <row r="42" spans="1:30" ht="13.5" customHeight="1" x14ac:dyDescent="0.3">
      <c r="A42" s="257" t="s">
        <v>152</v>
      </c>
      <c r="B42" s="2"/>
      <c r="C42" s="2"/>
      <c r="D42" s="2"/>
      <c r="E42" s="2"/>
      <c r="F42" s="2"/>
      <c r="G42" s="2"/>
      <c r="H42" s="204"/>
      <c r="I42" s="204"/>
      <c r="K42" s="2"/>
      <c r="L42" s="2"/>
      <c r="M42" s="257" t="s">
        <v>154</v>
      </c>
      <c r="N42" s="2"/>
      <c r="O42" s="2"/>
      <c r="P42" s="2"/>
      <c r="Q42" s="2"/>
      <c r="R42" s="2"/>
      <c r="S42" s="2"/>
      <c r="T42" s="2"/>
      <c r="U42" s="2"/>
      <c r="V42" s="2"/>
    </row>
    <row r="43" spans="1:30" s="2" customFormat="1" ht="13.5" customHeight="1" x14ac:dyDescent="0.3">
      <c r="A43" s="257" t="s">
        <v>153</v>
      </c>
      <c r="M43" s="257" t="s">
        <v>155</v>
      </c>
    </row>
    <row r="44" spans="1:30" s="2" customFormat="1" ht="13.5" customHeight="1" x14ac:dyDescent="0.3">
      <c r="A44" s="257" t="s">
        <v>147</v>
      </c>
      <c r="M44" s="257" t="s">
        <v>156</v>
      </c>
    </row>
    <row r="45" spans="1:30" s="2" customFormat="1" ht="13.5" customHeight="1" x14ac:dyDescent="0.3">
      <c r="A45" s="257" t="s">
        <v>148</v>
      </c>
      <c r="M45" s="257" t="s">
        <v>227</v>
      </c>
    </row>
    <row r="46" spans="1:30" s="2" customFormat="1" ht="13.5" customHeight="1" x14ac:dyDescent="0.3">
      <c r="A46" s="257" t="s">
        <v>149</v>
      </c>
      <c r="M46" s="575" t="s">
        <v>226</v>
      </c>
      <c r="N46" s="575"/>
      <c r="O46" s="575"/>
      <c r="P46" s="575"/>
      <c r="Q46" s="575"/>
      <c r="R46" s="575"/>
      <c r="S46" s="575"/>
      <c r="T46" s="575"/>
      <c r="U46" s="575"/>
      <c r="V46" s="575"/>
      <c r="W46" s="575"/>
    </row>
    <row r="47" spans="1:30" s="2" customFormat="1" ht="13.5" customHeight="1" x14ac:dyDescent="0.3">
      <c r="A47" s="257" t="s">
        <v>150</v>
      </c>
      <c r="K47" s="396"/>
      <c r="L47" s="396"/>
      <c r="M47" s="575"/>
      <c r="N47" s="575"/>
      <c r="O47" s="575"/>
      <c r="P47" s="575"/>
      <c r="Q47" s="575"/>
      <c r="R47" s="575"/>
      <c r="S47" s="575"/>
      <c r="T47" s="575"/>
      <c r="U47" s="575"/>
      <c r="V47" s="575"/>
      <c r="W47" s="575"/>
    </row>
    <row r="48" spans="1:30" s="2" customFormat="1" ht="13.5" customHeight="1" x14ac:dyDescent="0.3">
      <c r="A48" s="257" t="s">
        <v>151</v>
      </c>
      <c r="K48" s="396"/>
      <c r="L48" s="396"/>
      <c r="M48" s="257" t="s">
        <v>157</v>
      </c>
      <c r="N48" s="396"/>
      <c r="O48" s="287"/>
      <c r="P48" s="287"/>
      <c r="Q48" s="287"/>
      <c r="R48" s="287"/>
      <c r="S48" s="287"/>
      <c r="T48" s="287"/>
      <c r="U48" s="287"/>
      <c r="V48" s="287"/>
      <c r="W48" s="287"/>
    </row>
    <row r="49" spans="1:19" s="2" customFormat="1" ht="13.5" customHeight="1" x14ac:dyDescent="0.3">
      <c r="A49" s="257" t="s">
        <v>170</v>
      </c>
      <c r="I49" s="287"/>
      <c r="M49" s="257" t="s">
        <v>217</v>
      </c>
      <c r="O49" s="396"/>
      <c r="P49" s="396"/>
      <c r="Q49" s="396"/>
      <c r="R49" s="396"/>
      <c r="S49" s="396"/>
    </row>
    <row r="50" spans="1:19" s="2" customFormat="1" ht="13.5" customHeight="1" x14ac:dyDescent="0.3">
      <c r="A50" s="576" t="s">
        <v>225</v>
      </c>
      <c r="B50" s="576"/>
      <c r="C50" s="576"/>
      <c r="D50" s="576"/>
      <c r="E50" s="576"/>
      <c r="F50" s="576"/>
      <c r="G50" s="576"/>
      <c r="H50" s="576"/>
      <c r="I50" s="576"/>
      <c r="M50" s="257" t="s">
        <v>230</v>
      </c>
    </row>
    <row r="51" spans="1:19" s="2" customFormat="1" ht="13.5" customHeight="1" x14ac:dyDescent="0.3">
      <c r="A51" s="576"/>
      <c r="B51" s="576"/>
      <c r="C51" s="576"/>
      <c r="D51" s="576"/>
      <c r="E51" s="576"/>
      <c r="F51" s="576"/>
      <c r="G51" s="576"/>
      <c r="H51" s="576"/>
      <c r="I51" s="576"/>
      <c r="M51" s="257" t="s">
        <v>158</v>
      </c>
    </row>
    <row r="52" spans="1:19" s="2" customFormat="1" ht="13.5" customHeight="1" x14ac:dyDescent="0.25"/>
    <row r="53" spans="1:19" s="2" customFormat="1" ht="13.5" customHeight="1" x14ac:dyDescent="0.25"/>
    <row r="54" spans="1:19" s="2" customFormat="1" ht="13.5" customHeight="1" x14ac:dyDescent="0.25">
      <c r="K54" s="290"/>
    </row>
    <row r="55" spans="1:19" s="2" customFormat="1" ht="13.5" customHeight="1" x14ac:dyDescent="0.25">
      <c r="L55" s="290"/>
      <c r="M55" s="290"/>
    </row>
    <row r="56" spans="1:19" s="2" customFormat="1" ht="13.5" customHeight="1" x14ac:dyDescent="0.25"/>
    <row r="57" spans="1:19" s="2" customFormat="1" ht="13.5" customHeight="1" x14ac:dyDescent="0.25"/>
    <row r="58" spans="1:19" s="2" customFormat="1" ht="13.5" customHeight="1" x14ac:dyDescent="0.25">
      <c r="A58"/>
      <c r="B58"/>
      <c r="C58"/>
      <c r="D58"/>
      <c r="E58"/>
      <c r="F58"/>
      <c r="G58"/>
      <c r="H58"/>
    </row>
    <row r="59" spans="1:19" s="2" customFormat="1" ht="13.5" customHeight="1" x14ac:dyDescent="0.25">
      <c r="A59"/>
      <c r="B59"/>
      <c r="C59"/>
      <c r="D59"/>
      <c r="E59"/>
      <c r="F59"/>
      <c r="G59"/>
      <c r="H59"/>
    </row>
    <row r="60" spans="1:19" s="2" customFormat="1" ht="13.5" customHeight="1" x14ac:dyDescent="0.25">
      <c r="A60"/>
      <c r="B60"/>
      <c r="C60"/>
      <c r="D60"/>
      <c r="E60"/>
      <c r="F60"/>
      <c r="G60"/>
      <c r="H60"/>
    </row>
    <row r="61" spans="1:19" s="2" customFormat="1" ht="13.5" customHeight="1" x14ac:dyDescent="0.25">
      <c r="A61"/>
      <c r="B61"/>
      <c r="C61"/>
      <c r="D61"/>
      <c r="E61"/>
      <c r="F61"/>
      <c r="G61"/>
      <c r="H61"/>
    </row>
  </sheetData>
  <mergeCells count="30">
    <mergeCell ref="Q5:Q8"/>
    <mergeCell ref="R5:R8"/>
    <mergeCell ref="S5:S8"/>
    <mergeCell ref="A4:A8"/>
    <mergeCell ref="B4:C4"/>
    <mergeCell ref="D4:P4"/>
    <mergeCell ref="Q4:V4"/>
    <mergeCell ref="B5:B8"/>
    <mergeCell ref="C5:C8"/>
    <mergeCell ref="D5:H5"/>
    <mergeCell ref="I5:J6"/>
    <mergeCell ref="K5:K8"/>
    <mergeCell ref="L5:L8"/>
    <mergeCell ref="J7:J8"/>
    <mergeCell ref="A40:W40"/>
    <mergeCell ref="M46:W47"/>
    <mergeCell ref="A50:I51"/>
    <mergeCell ref="T5:T8"/>
    <mergeCell ref="U5:U8"/>
    <mergeCell ref="V5:V8"/>
    <mergeCell ref="W5:W8"/>
    <mergeCell ref="D6:D8"/>
    <mergeCell ref="E6:E7"/>
    <mergeCell ref="F6:F8"/>
    <mergeCell ref="G6:G8"/>
    <mergeCell ref="H6:H8"/>
    <mergeCell ref="I7:I8"/>
    <mergeCell ref="N5:N7"/>
    <mergeCell ref="O5:O8"/>
    <mergeCell ref="P5:P8"/>
  </mergeCells>
  <printOptions horizontalCentered="1"/>
  <pageMargins left="0.3" right="0.3" top="0.3" bottom="0.25" header="0.4" footer="0.35"/>
  <pageSetup scale="67" fitToHeight="2" orientation="landscape" r:id="rId1"/>
  <headerFooter alignWithMargins="0"/>
  <rowBreaks count="1" manualBreakCount="1">
    <brk id="10" max="2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46"/>
  <sheetViews>
    <sheetView zoomScaleNormal="100" workbookViewId="0">
      <pane ySplit="2" topLeftCell="A6" activePane="bottomLeft" state="frozen"/>
      <selection pane="bottomLeft" activeCell="E28" sqref="E28"/>
    </sheetView>
  </sheetViews>
  <sheetFormatPr defaultRowHeight="13" x14ac:dyDescent="0.3"/>
  <cols>
    <col min="1" max="1" width="22" customWidth="1"/>
    <col min="2" max="2" width="7.7265625" bestFit="1" customWidth="1"/>
    <col min="3" max="3" width="7.1796875" style="220" customWidth="1"/>
    <col min="4" max="4" width="6.81640625" bestFit="1" customWidth="1"/>
    <col min="5" max="5" width="8.453125" bestFit="1" customWidth="1"/>
    <col min="6" max="6" width="6.7265625" customWidth="1"/>
    <col min="7" max="10" width="7.54296875" customWidth="1"/>
    <col min="11" max="11" width="7.54296875" style="244" bestFit="1" customWidth="1"/>
    <col min="12" max="12" width="7.54296875" style="244" customWidth="1"/>
    <col min="13" max="19" width="7.54296875" style="244" hidden="1" customWidth="1"/>
    <col min="20" max="20" width="7.453125" style="243" hidden="1" customWidth="1"/>
    <col min="21" max="21" width="7.7265625" style="243" hidden="1" customWidth="1"/>
    <col min="22" max="22" width="9.54296875" bestFit="1" customWidth="1"/>
    <col min="23" max="23" width="3.7265625" hidden="1" customWidth="1"/>
    <col min="24" max="24" width="22.1796875" hidden="1" customWidth="1"/>
    <col min="25" max="26" width="6.7265625" style="220" hidden="1" customWidth="1"/>
    <col min="27" max="27" width="7.81640625" hidden="1" customWidth="1"/>
    <col min="28" max="28" width="6.7265625" hidden="1" customWidth="1"/>
    <col min="29" max="30" width="6.7265625" style="6" hidden="1" customWidth="1"/>
    <col min="31" max="31" width="6.81640625" style="6" hidden="1" customWidth="1"/>
    <col min="32" max="32" width="8.26953125" hidden="1" customWidth="1"/>
    <col min="33" max="33" width="8.453125" hidden="1" customWidth="1"/>
    <col min="34" max="34" width="10.54296875" hidden="1" customWidth="1"/>
    <col min="35" max="35" width="8.54296875" hidden="1" customWidth="1"/>
    <col min="36" max="36" width="9.54296875" hidden="1" customWidth="1"/>
  </cols>
  <sheetData>
    <row r="1" spans="1:36" s="220" customFormat="1" ht="28" x14ac:dyDescent="0.6">
      <c r="A1" s="427" t="s">
        <v>168</v>
      </c>
      <c r="B1" s="427"/>
      <c r="C1" s="428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8"/>
      <c r="U1" s="428"/>
      <c r="V1" s="219"/>
      <c r="W1" s="427"/>
      <c r="X1" s="427"/>
      <c r="Y1" s="428"/>
      <c r="Z1" s="428"/>
      <c r="AA1" s="427"/>
      <c r="AB1" s="427"/>
      <c r="AC1" s="71"/>
      <c r="AD1" s="71"/>
      <c r="AE1" s="71"/>
      <c r="AF1" s="219"/>
      <c r="AG1" s="219"/>
      <c r="AH1" s="219"/>
      <c r="AI1" s="219"/>
      <c r="AJ1" s="219"/>
    </row>
    <row r="2" spans="1:36" s="220" customFormat="1" x14ac:dyDescent="0.3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71"/>
      <c r="L2" s="71"/>
      <c r="M2" s="71"/>
      <c r="N2" s="71"/>
      <c r="O2" s="71"/>
      <c r="P2" s="71"/>
      <c r="Q2" s="71"/>
      <c r="R2" s="71"/>
      <c r="S2" s="71"/>
      <c r="T2" s="219"/>
      <c r="U2" s="219"/>
      <c r="V2" s="219"/>
      <c r="W2" s="219"/>
      <c r="X2" s="219"/>
      <c r="Y2" s="219"/>
      <c r="Z2" s="219"/>
      <c r="AA2" s="219"/>
      <c r="AB2" s="219"/>
      <c r="AC2" s="71"/>
      <c r="AD2" s="71"/>
      <c r="AE2" s="71"/>
      <c r="AF2" s="219"/>
      <c r="AG2" s="219"/>
      <c r="AH2" s="219"/>
      <c r="AI2" s="219"/>
      <c r="AJ2" s="219"/>
    </row>
    <row r="3" spans="1:36" x14ac:dyDescent="0.3">
      <c r="T3" s="242"/>
      <c r="U3" s="242"/>
    </row>
    <row r="4" spans="1:36" x14ac:dyDescent="0.3">
      <c r="A4" t="s">
        <v>5</v>
      </c>
      <c r="T4" s="242"/>
      <c r="U4" s="242"/>
    </row>
    <row r="5" spans="1:36" x14ac:dyDescent="0.3">
      <c r="K5" s="6"/>
      <c r="L5" s="6"/>
      <c r="M5" s="6"/>
      <c r="N5" s="6"/>
      <c r="O5" s="6"/>
      <c r="P5" s="6"/>
      <c r="Q5" s="6"/>
      <c r="R5" s="6"/>
      <c r="S5" s="6"/>
      <c r="T5" s="2"/>
      <c r="U5" s="2"/>
      <c r="V5" s="2"/>
      <c r="W5" s="2"/>
      <c r="Y5" s="2"/>
      <c r="Z5" s="2"/>
      <c r="AA5" s="2"/>
      <c r="AB5" s="2"/>
      <c r="AE5" s="2"/>
      <c r="AF5" s="2"/>
      <c r="AG5" s="2"/>
      <c r="AH5" s="2"/>
      <c r="AI5" s="2"/>
      <c r="AJ5" s="2"/>
    </row>
    <row r="6" spans="1:36" s="2" customFormat="1" x14ac:dyDescent="0.3">
      <c r="A6" s="2" t="s">
        <v>204</v>
      </c>
      <c r="C6" s="220"/>
      <c r="K6" s="6"/>
      <c r="L6" s="6"/>
      <c r="M6" s="6"/>
      <c r="N6" s="6"/>
      <c r="O6" s="6"/>
      <c r="P6" s="6"/>
      <c r="Q6" s="6"/>
      <c r="R6" s="6"/>
      <c r="S6" s="6"/>
      <c r="AC6" s="6"/>
      <c r="AD6" s="6"/>
    </row>
    <row r="7" spans="1:36" s="2" customFormat="1" x14ac:dyDescent="0.3">
      <c r="A7" s="2" t="s">
        <v>173</v>
      </c>
      <c r="C7" s="220"/>
      <c r="K7" s="6"/>
      <c r="L7" s="6"/>
      <c r="M7" s="6"/>
      <c r="N7" s="6"/>
      <c r="O7" s="6"/>
      <c r="P7" s="6"/>
      <c r="Q7" s="6"/>
      <c r="R7" s="6"/>
      <c r="S7" s="6"/>
      <c r="AC7" s="6"/>
      <c r="AD7" s="6"/>
    </row>
    <row r="8" spans="1:36" ht="15.5" x14ac:dyDescent="0.35">
      <c r="K8" s="245"/>
      <c r="L8" s="245"/>
      <c r="M8" s="245"/>
      <c r="N8" s="245"/>
      <c r="O8" s="245"/>
      <c r="P8" s="245"/>
      <c r="Q8" s="245"/>
      <c r="R8" s="245"/>
      <c r="S8" s="245"/>
      <c r="T8" s="5"/>
      <c r="U8" s="5"/>
      <c r="V8" s="2"/>
      <c r="W8" s="5"/>
      <c r="Y8" s="5"/>
      <c r="Z8" s="5"/>
      <c r="AA8" s="5"/>
      <c r="AB8" s="5"/>
      <c r="AE8" s="2"/>
      <c r="AF8" s="2"/>
      <c r="AG8" s="2"/>
      <c r="AH8" s="2"/>
      <c r="AI8" s="2"/>
      <c r="AJ8" s="2"/>
    </row>
    <row r="9" spans="1:36" x14ac:dyDescent="0.3">
      <c r="D9" s="602" t="s">
        <v>136</v>
      </c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02"/>
      <c r="P9" s="377"/>
      <c r="Q9" s="411"/>
      <c r="R9" s="411"/>
      <c r="S9" s="411"/>
      <c r="T9" s="377"/>
      <c r="U9" s="377"/>
      <c r="V9" s="48" t="s">
        <v>361</v>
      </c>
      <c r="W9" s="2"/>
      <c r="Y9" s="602" t="s">
        <v>180</v>
      </c>
      <c r="Z9" s="602"/>
      <c r="AA9" s="602"/>
      <c r="AB9" s="602"/>
      <c r="AC9" s="602"/>
      <c r="AD9" s="602"/>
      <c r="AE9" s="602"/>
      <c r="AF9" s="602"/>
      <c r="AG9" s="602"/>
      <c r="AH9" s="602"/>
      <c r="AI9" s="602"/>
      <c r="AJ9" s="48" t="s">
        <v>135</v>
      </c>
    </row>
    <row r="10" spans="1:36" ht="15" x14ac:dyDescent="0.3">
      <c r="A10" s="375" t="s">
        <v>2</v>
      </c>
      <c r="B10" s="442">
        <v>2025</v>
      </c>
      <c r="C10" s="500">
        <v>2024</v>
      </c>
      <c r="D10" s="379">
        <v>2023</v>
      </c>
      <c r="E10" s="379">
        <v>2022</v>
      </c>
      <c r="F10" s="379">
        <v>2021</v>
      </c>
      <c r="G10" s="379">
        <v>2020</v>
      </c>
      <c r="H10" s="379">
        <v>2019</v>
      </c>
      <c r="I10" s="379">
        <v>2018</v>
      </c>
      <c r="J10" s="379">
        <v>2017</v>
      </c>
      <c r="K10" s="61">
        <v>2016</v>
      </c>
      <c r="L10" s="61">
        <v>2015</v>
      </c>
      <c r="M10" s="429" t="s">
        <v>279</v>
      </c>
      <c r="N10" s="429" t="s">
        <v>280</v>
      </c>
      <c r="O10" s="61">
        <v>2011</v>
      </c>
      <c r="P10" s="61">
        <v>2010</v>
      </c>
      <c r="Q10" s="61">
        <v>2009</v>
      </c>
      <c r="R10" s="61">
        <v>2008</v>
      </c>
      <c r="S10" s="61">
        <v>2007</v>
      </c>
      <c r="T10" s="61">
        <v>2006</v>
      </c>
      <c r="U10" s="61">
        <v>2005</v>
      </c>
      <c r="V10" s="7" t="s">
        <v>57</v>
      </c>
      <c r="W10" s="48"/>
      <c r="X10" s="1" t="s">
        <v>2</v>
      </c>
      <c r="Y10" s="61">
        <v>2006</v>
      </c>
      <c r="Z10" s="61">
        <v>2005</v>
      </c>
      <c r="AA10" s="61">
        <v>2004</v>
      </c>
      <c r="AB10" s="61">
        <v>2003</v>
      </c>
      <c r="AC10" s="61">
        <v>2002</v>
      </c>
      <c r="AD10" s="61">
        <v>2001</v>
      </c>
      <c r="AE10" s="61">
        <v>2000</v>
      </c>
      <c r="AF10" s="61">
        <v>1999</v>
      </c>
      <c r="AG10" s="61">
        <v>1998</v>
      </c>
      <c r="AH10" s="61">
        <v>1997</v>
      </c>
      <c r="AI10" s="61">
        <v>1996</v>
      </c>
      <c r="AJ10" s="7" t="s">
        <v>57</v>
      </c>
    </row>
    <row r="11" spans="1:36" ht="20.25" customHeight="1" x14ac:dyDescent="0.3">
      <c r="A11" s="6" t="s">
        <v>3</v>
      </c>
      <c r="B11" s="6"/>
      <c r="D11" s="220"/>
      <c r="E11" s="220"/>
      <c r="F11" s="220"/>
      <c r="G11" s="220"/>
      <c r="H11" s="220"/>
      <c r="I11" s="220"/>
      <c r="J11" s="220"/>
      <c r="K11" s="2"/>
      <c r="L11" s="2"/>
      <c r="M11" s="2"/>
      <c r="N11" s="2"/>
      <c r="O11" s="2"/>
      <c r="P11" s="2"/>
      <c r="Q11" s="2"/>
      <c r="R11" s="2"/>
      <c r="S11" s="2"/>
      <c r="T11" s="320"/>
      <c r="U11" s="2"/>
      <c r="V11" s="2"/>
      <c r="W11" s="6"/>
      <c r="X11" s="6" t="s">
        <v>3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x14ac:dyDescent="0.3">
      <c r="A12" s="247" t="s">
        <v>137</v>
      </c>
      <c r="B12" s="483">
        <v>2411.6</v>
      </c>
      <c r="C12" s="380">
        <v>2632.6</v>
      </c>
      <c r="D12" s="380">
        <v>2877</v>
      </c>
      <c r="E12" s="380">
        <v>3349.3</v>
      </c>
      <c r="F12" s="380">
        <v>3270.5</v>
      </c>
      <c r="G12" s="380">
        <v>2846</v>
      </c>
      <c r="H12" s="380">
        <v>3132.7</v>
      </c>
      <c r="I12" s="380">
        <v>2681.5</v>
      </c>
      <c r="J12" s="380">
        <v>2487.8000000000002</v>
      </c>
      <c r="K12" s="308">
        <v>2467.4</v>
      </c>
      <c r="L12" s="308">
        <v>2703.7</v>
      </c>
      <c r="M12" s="308">
        <v>2599</v>
      </c>
      <c r="N12" s="308">
        <v>2449.9</v>
      </c>
      <c r="O12" s="308">
        <v>2298.3000000000002</v>
      </c>
      <c r="P12" s="308">
        <v>2426.6999999999998</v>
      </c>
      <c r="Q12" s="308">
        <v>2289.1</v>
      </c>
      <c r="R12" s="308">
        <v>3025.4</v>
      </c>
      <c r="S12" s="308">
        <f>3201.1-56.4</f>
        <v>3144.7</v>
      </c>
      <c r="T12" s="308">
        <f>3320.6-66.1</f>
        <v>3254.5</v>
      </c>
      <c r="U12" s="308">
        <f>3277.3-60.4</f>
        <v>3216.9</v>
      </c>
      <c r="V12" s="246">
        <f>(B12/L12)^(1/10)-1</f>
        <v>-1.1367968500436754E-2</v>
      </c>
      <c r="W12" s="209"/>
      <c r="X12" t="s">
        <v>6</v>
      </c>
      <c r="Y12" s="76">
        <v>4361</v>
      </c>
      <c r="Z12" s="76">
        <v>4163</v>
      </c>
      <c r="AA12" s="76">
        <v>4029.3</v>
      </c>
      <c r="AB12" s="76">
        <v>3468</v>
      </c>
      <c r="AC12" s="76">
        <v>3489.7</v>
      </c>
      <c r="AD12" s="76">
        <v>3421.1</v>
      </c>
      <c r="AE12" s="76">
        <v>3675.6</v>
      </c>
      <c r="AF12" s="76">
        <v>3345.8</v>
      </c>
      <c r="AG12" s="76">
        <v>3025.9</v>
      </c>
      <c r="AH12" s="76">
        <v>2636.6</v>
      </c>
      <c r="AI12" s="76">
        <v>2304.8000000000002</v>
      </c>
      <c r="AJ12" s="200">
        <f>+(Y12/AI12)^(1/10)-1</f>
        <v>6.5848023393856314E-2</v>
      </c>
    </row>
    <row r="13" spans="1:36" x14ac:dyDescent="0.3">
      <c r="A13" s="250" t="s">
        <v>172</v>
      </c>
      <c r="B13" s="484">
        <f>B14/B21</f>
        <v>0.59470789869546981</v>
      </c>
      <c r="C13" s="452">
        <f>C14/C21</f>
        <v>0.60055662012957389</v>
      </c>
      <c r="D13" s="47">
        <f>D14/D21</f>
        <v>0.60885023173131869</v>
      </c>
      <c r="E13" s="47">
        <f t="shared" ref="E13:F13" si="0">E14/E21</f>
        <v>0.65076651057959478</v>
      </c>
      <c r="F13" s="47">
        <f t="shared" si="0"/>
        <v>0.64473839845444147</v>
      </c>
      <c r="G13" s="47">
        <f t="shared" ref="G13" si="1">G14/G21</f>
        <v>0.66492219989720114</v>
      </c>
      <c r="H13" s="47">
        <f t="shared" ref="H13:N13" si="2">H14/H21</f>
        <v>0.65916885849552864</v>
      </c>
      <c r="I13" s="47">
        <f t="shared" si="2"/>
        <v>0.62805949174376385</v>
      </c>
      <c r="J13" s="47">
        <f t="shared" si="2"/>
        <v>0.63081292154774582</v>
      </c>
      <c r="K13" s="47">
        <f t="shared" si="2"/>
        <v>0.65799087975679349</v>
      </c>
      <c r="L13" s="47">
        <f t="shared" si="2"/>
        <v>0.69021239660982325</v>
      </c>
      <c r="M13" s="47">
        <f t="shared" si="2"/>
        <v>0.68714803162097138</v>
      </c>
      <c r="N13" s="47">
        <f t="shared" si="2"/>
        <v>0.70456114114805024</v>
      </c>
      <c r="O13" s="47">
        <f t="shared" ref="O13:U13" si="3">O14/O21</f>
        <v>0.69580091429263424</v>
      </c>
      <c r="P13" s="47">
        <f t="shared" si="3"/>
        <v>0.72242564972760548</v>
      </c>
      <c r="Q13" s="47">
        <f t="shared" si="3"/>
        <v>0.7492717096003404</v>
      </c>
      <c r="R13" s="47">
        <f t="shared" si="3"/>
        <v>0.74222909153357375</v>
      </c>
      <c r="S13" s="47">
        <f t="shared" si="3"/>
        <v>0.73992941176470584</v>
      </c>
      <c r="T13" s="47">
        <f t="shared" si="3"/>
        <v>0.7627317256087558</v>
      </c>
      <c r="U13" s="47">
        <f t="shared" si="3"/>
        <v>0.76645779228514921</v>
      </c>
      <c r="V13" s="246"/>
      <c r="W13" s="209"/>
      <c r="X13" s="250" t="s">
        <v>172</v>
      </c>
      <c r="Y13" s="47">
        <f>Y14/Y20</f>
        <v>0.7920450417726117</v>
      </c>
      <c r="Z13" s="47">
        <f t="shared" ref="Z13:AI13" si="4">Z14/Z20</f>
        <v>0.78561992828835625</v>
      </c>
      <c r="AA13" s="47">
        <f t="shared" si="4"/>
        <v>0.79231147379805333</v>
      </c>
      <c r="AB13" s="47">
        <f t="shared" si="4"/>
        <v>0.79033728350045573</v>
      </c>
      <c r="AC13" s="47">
        <f t="shared" si="4"/>
        <v>0.81691558593567104</v>
      </c>
      <c r="AD13" s="47">
        <f t="shared" si="4"/>
        <v>0.83161553794545207</v>
      </c>
      <c r="AE13" s="47">
        <f t="shared" si="4"/>
        <v>0.85952809671912633</v>
      </c>
      <c r="AF13" s="47">
        <f t="shared" si="4"/>
        <v>0.88543679043057133</v>
      </c>
      <c r="AG13" s="47">
        <f t="shared" si="4"/>
        <v>0.89778661286494188</v>
      </c>
      <c r="AH13" s="47">
        <f t="shared" si="4"/>
        <v>0.90626611212319119</v>
      </c>
      <c r="AI13" s="47">
        <f t="shared" si="4"/>
        <v>0.93455518611629229</v>
      </c>
      <c r="AJ13" s="200"/>
    </row>
    <row r="14" spans="1:36" s="297" customFormat="1" ht="6" customHeight="1" x14ac:dyDescent="0.3">
      <c r="A14" s="292"/>
      <c r="B14" s="485">
        <f t="shared" ref="B14" si="5">B12</f>
        <v>2411.6</v>
      </c>
      <c r="C14" s="323">
        <f>C12</f>
        <v>2632.6</v>
      </c>
      <c r="D14" s="323">
        <f t="shared" ref="D14:U14" si="6">D12</f>
        <v>2877</v>
      </c>
      <c r="E14" s="323">
        <f t="shared" ref="E14:F14" si="7">E12</f>
        <v>3349.3</v>
      </c>
      <c r="F14" s="323">
        <f t="shared" si="7"/>
        <v>3270.5</v>
      </c>
      <c r="G14" s="323">
        <f t="shared" ref="G14" si="8">G12</f>
        <v>2846</v>
      </c>
      <c r="H14" s="323">
        <f t="shared" ref="H14:N14" si="9">H12</f>
        <v>3132.7</v>
      </c>
      <c r="I14" s="323">
        <f t="shared" si="9"/>
        <v>2681.5</v>
      </c>
      <c r="J14" s="323">
        <f t="shared" si="9"/>
        <v>2487.8000000000002</v>
      </c>
      <c r="K14" s="323">
        <f t="shared" si="9"/>
        <v>2467.4</v>
      </c>
      <c r="L14" s="323">
        <f t="shared" si="9"/>
        <v>2703.7</v>
      </c>
      <c r="M14" s="323">
        <f t="shared" si="9"/>
        <v>2599</v>
      </c>
      <c r="N14" s="323">
        <f t="shared" si="9"/>
        <v>2449.9</v>
      </c>
      <c r="O14" s="323">
        <f t="shared" si="6"/>
        <v>2298.3000000000002</v>
      </c>
      <c r="P14" s="323">
        <f t="shared" si="6"/>
        <v>2426.6999999999998</v>
      </c>
      <c r="Q14" s="323">
        <f t="shared" si="6"/>
        <v>2289.1</v>
      </c>
      <c r="R14" s="323">
        <f t="shared" si="6"/>
        <v>3025.4</v>
      </c>
      <c r="S14" s="323">
        <f t="shared" si="6"/>
        <v>3144.7</v>
      </c>
      <c r="T14" s="293">
        <f t="shared" si="6"/>
        <v>3254.5</v>
      </c>
      <c r="U14" s="293">
        <f t="shared" si="6"/>
        <v>3216.9</v>
      </c>
      <c r="V14" s="294"/>
      <c r="W14" s="295"/>
      <c r="X14" s="292"/>
      <c r="Y14" s="293">
        <f t="shared" ref="Y14:AI14" si="10">Y12</f>
        <v>4361</v>
      </c>
      <c r="Z14" s="293">
        <f t="shared" si="10"/>
        <v>4163</v>
      </c>
      <c r="AA14" s="293">
        <f t="shared" si="10"/>
        <v>4029.3</v>
      </c>
      <c r="AB14" s="293">
        <f t="shared" si="10"/>
        <v>3468</v>
      </c>
      <c r="AC14" s="293">
        <f t="shared" si="10"/>
        <v>3489.7</v>
      </c>
      <c r="AD14" s="293">
        <f t="shared" si="10"/>
        <v>3421.1</v>
      </c>
      <c r="AE14" s="293">
        <f t="shared" si="10"/>
        <v>3675.6</v>
      </c>
      <c r="AF14" s="293">
        <f t="shared" si="10"/>
        <v>3345.8</v>
      </c>
      <c r="AG14" s="293">
        <f t="shared" si="10"/>
        <v>3025.9</v>
      </c>
      <c r="AH14" s="293">
        <f t="shared" si="10"/>
        <v>2636.6</v>
      </c>
      <c r="AI14" s="293">
        <f t="shared" si="10"/>
        <v>2304.8000000000002</v>
      </c>
      <c r="AJ14" s="296"/>
    </row>
    <row r="15" spans="1:36" x14ac:dyDescent="0.3">
      <c r="A15" s="247" t="s">
        <v>138</v>
      </c>
      <c r="B15" s="486">
        <f>289.6+187.1</f>
        <v>476.70000000000005</v>
      </c>
      <c r="C15" s="381">
        <f>289.5+214</f>
        <v>503.5</v>
      </c>
      <c r="D15" s="381">
        <f>296.6+232.6</f>
        <v>529.20000000000005</v>
      </c>
      <c r="E15" s="381">
        <f>279.4+262.8</f>
        <v>542.20000000000005</v>
      </c>
      <c r="F15" s="381">
        <f>262+276</f>
        <v>538</v>
      </c>
      <c r="G15" s="381">
        <f>261.5+215.4</f>
        <v>476.9</v>
      </c>
      <c r="H15" s="381">
        <f>312.8+256</f>
        <v>568.79999999999995</v>
      </c>
      <c r="I15" s="381">
        <v>472.9</v>
      </c>
      <c r="J15" s="381">
        <f>148.5+265.1</f>
        <v>413.6</v>
      </c>
      <c r="K15" s="76">
        <v>347.9</v>
      </c>
      <c r="L15" s="76">
        <f>203.1+117.3</f>
        <v>320.39999999999998</v>
      </c>
      <c r="M15" s="76">
        <f>206.5+90.1</f>
        <v>296.60000000000002</v>
      </c>
      <c r="N15" s="76">
        <f>201.6+69.6</f>
        <v>271.2</v>
      </c>
      <c r="O15" s="76">
        <f>212.5+50.5</f>
        <v>263</v>
      </c>
      <c r="P15" s="76">
        <f>200.6+47.7</f>
        <v>248.3</v>
      </c>
      <c r="Q15" s="76">
        <f>170.1+41.8</f>
        <v>211.89999999999998</v>
      </c>
      <c r="R15" s="76">
        <v>323.10000000000002</v>
      </c>
      <c r="S15" s="76">
        <f>337.4+79.8</f>
        <v>417.2</v>
      </c>
      <c r="T15" s="76">
        <f>373.3+75.3</f>
        <v>448.6</v>
      </c>
      <c r="U15" s="76">
        <f>391.8+80.7</f>
        <v>472.5</v>
      </c>
      <c r="V15" s="246">
        <f>(B15/L15)^(1/10)-1</f>
        <v>4.0531577417185716E-2</v>
      </c>
      <c r="W15" s="209"/>
      <c r="X15" t="s">
        <v>79</v>
      </c>
      <c r="Y15" s="76">
        <f>420+161</f>
        <v>581</v>
      </c>
      <c r="Z15" s="76">
        <f>459+155</f>
        <v>614</v>
      </c>
      <c r="AA15" s="76">
        <f>421+145.7</f>
        <v>566.70000000000005</v>
      </c>
      <c r="AB15" s="76">
        <v>559</v>
      </c>
      <c r="AC15" s="76">
        <v>477.6</v>
      </c>
      <c r="AD15" s="76">
        <f>102.3+324.9</f>
        <v>427.2</v>
      </c>
      <c r="AE15" s="76">
        <v>385</v>
      </c>
      <c r="AF15" s="76">
        <v>283.89999999999998</v>
      </c>
      <c r="AG15" s="76">
        <v>234.2</v>
      </c>
      <c r="AH15" s="76">
        <v>199.1</v>
      </c>
      <c r="AI15" s="76">
        <v>127.1</v>
      </c>
      <c r="AJ15" s="200">
        <f>+(Y15/AI15)^(1/10)-1</f>
        <v>0.16413422689826085</v>
      </c>
    </row>
    <row r="16" spans="1:36" x14ac:dyDescent="0.3">
      <c r="A16" s="247" t="s">
        <v>139</v>
      </c>
      <c r="B16" s="486">
        <v>616.9</v>
      </c>
      <c r="C16" s="381">
        <v>660.6</v>
      </c>
      <c r="D16" s="381">
        <v>715.2</v>
      </c>
      <c r="E16" s="381">
        <v>624.5</v>
      </c>
      <c r="F16" s="381">
        <v>589</v>
      </c>
      <c r="G16" s="381">
        <v>420.9</v>
      </c>
      <c r="H16" s="381">
        <v>508.5</v>
      </c>
      <c r="I16" s="381">
        <v>525.6</v>
      </c>
      <c r="J16" s="381">
        <v>475.3</v>
      </c>
      <c r="K16" s="76">
        <v>445.2</v>
      </c>
      <c r="L16" s="76">
        <v>426.8</v>
      </c>
      <c r="M16" s="76">
        <v>422.7</v>
      </c>
      <c r="N16" s="76">
        <v>351.7</v>
      </c>
      <c r="O16" s="76">
        <v>346.7</v>
      </c>
      <c r="P16" s="76">
        <v>302.3</v>
      </c>
      <c r="Q16" s="76">
        <v>278.10000000000002</v>
      </c>
      <c r="R16" s="76">
        <v>409</v>
      </c>
      <c r="S16" s="76">
        <v>402</v>
      </c>
      <c r="T16" s="76">
        <v>353.7</v>
      </c>
      <c r="U16" s="76">
        <v>373.9</v>
      </c>
      <c r="V16" s="246">
        <f>(B16/L16)^(1/10)-1</f>
        <v>3.7526112705544401E-2</v>
      </c>
      <c r="W16" s="209"/>
      <c r="X16" t="s">
        <v>80</v>
      </c>
      <c r="Y16" s="76">
        <v>354</v>
      </c>
      <c r="Z16" s="76">
        <v>374</v>
      </c>
      <c r="AA16" s="76">
        <v>403.2</v>
      </c>
      <c r="AB16" s="76">
        <v>315</v>
      </c>
      <c r="AC16" s="76">
        <v>268.2</v>
      </c>
      <c r="AD16" s="76">
        <v>237</v>
      </c>
      <c r="AE16" s="76">
        <v>190.5</v>
      </c>
      <c r="AF16" s="76">
        <v>139.19999999999999</v>
      </c>
      <c r="AG16" s="76">
        <v>110.3</v>
      </c>
      <c r="AH16" s="76">
        <v>73.599999999999994</v>
      </c>
      <c r="AI16" s="76">
        <v>34.299999999999997</v>
      </c>
      <c r="AJ16" s="200">
        <f>+(Y16/AI16)^(1/10)-1</f>
        <v>0.26290567324521152</v>
      </c>
    </row>
    <row r="17" spans="1:37" x14ac:dyDescent="0.3">
      <c r="A17" s="247" t="s">
        <v>88</v>
      </c>
      <c r="B17" s="486">
        <v>409.5</v>
      </c>
      <c r="C17" s="381">
        <v>443.5</v>
      </c>
      <c r="D17" s="381">
        <v>464.7</v>
      </c>
      <c r="E17" s="381">
        <v>501.5</v>
      </c>
      <c r="F17" s="381">
        <v>559</v>
      </c>
      <c r="G17" s="381">
        <v>441.7</v>
      </c>
      <c r="H17" s="381">
        <v>449.9</v>
      </c>
      <c r="I17" s="381">
        <v>494.7</v>
      </c>
      <c r="J17" s="381">
        <v>481.6</v>
      </c>
      <c r="K17" s="76">
        <v>420</v>
      </c>
      <c r="L17" s="76">
        <v>392</v>
      </c>
      <c r="M17" s="76">
        <v>390</v>
      </c>
      <c r="N17" s="76">
        <v>335.5</v>
      </c>
      <c r="O17" s="76">
        <v>319.39999999999998</v>
      </c>
      <c r="P17" s="76">
        <v>323.5</v>
      </c>
      <c r="Q17" s="76">
        <v>233.1</v>
      </c>
      <c r="R17" s="76">
        <v>267.2</v>
      </c>
      <c r="S17" s="76">
        <v>224</v>
      </c>
      <c r="T17" s="76">
        <v>157.30000000000001</v>
      </c>
      <c r="U17" s="76">
        <v>94.6</v>
      </c>
      <c r="V17" s="246">
        <f>(B17/L17)^(1/10)-1</f>
        <v>4.3770578064119547E-3</v>
      </c>
      <c r="W17" s="209"/>
      <c r="X17" t="s">
        <v>81</v>
      </c>
      <c r="Y17" s="201">
        <v>210</v>
      </c>
      <c r="Z17" s="201">
        <f>109+39</f>
        <v>148</v>
      </c>
      <c r="AA17" s="201">
        <v>86.3</v>
      </c>
      <c r="AB17" s="201">
        <v>46</v>
      </c>
      <c r="AC17" s="201">
        <v>36.299999999999997</v>
      </c>
      <c r="AD17" s="201">
        <v>28.5</v>
      </c>
      <c r="AE17" s="201">
        <v>25.2</v>
      </c>
      <c r="AF17" s="201">
        <v>9.8000000000000007</v>
      </c>
      <c r="AG17" s="201"/>
      <c r="AH17" s="201"/>
      <c r="AI17" s="201"/>
      <c r="AJ17" s="200"/>
    </row>
    <row r="18" spans="1:37" x14ac:dyDescent="0.3">
      <c r="A18" s="247" t="s">
        <v>140</v>
      </c>
      <c r="B18" s="487">
        <v>140.4</v>
      </c>
      <c r="C18" s="382">
        <v>143.4</v>
      </c>
      <c r="D18" s="382">
        <v>139.19999999999999</v>
      </c>
      <c r="E18" s="382">
        <v>129.19999999999999</v>
      </c>
      <c r="F18" s="382">
        <v>116.1</v>
      </c>
      <c r="G18" s="382">
        <v>94.7</v>
      </c>
      <c r="H18" s="382">
        <v>92.6</v>
      </c>
      <c r="I18" s="382">
        <v>94.8</v>
      </c>
      <c r="J18" s="382">
        <v>85.5</v>
      </c>
      <c r="K18" s="201">
        <v>69.400000000000006</v>
      </c>
      <c r="L18" s="201">
        <v>74.3</v>
      </c>
      <c r="M18" s="201">
        <v>74</v>
      </c>
      <c r="N18" s="201">
        <v>68.900000000000006</v>
      </c>
      <c r="O18" s="201">
        <v>75.7</v>
      </c>
      <c r="P18" s="201">
        <v>58.3</v>
      </c>
      <c r="Q18" s="201">
        <v>42.9</v>
      </c>
      <c r="R18" s="201">
        <v>51.4</v>
      </c>
      <c r="S18" s="201">
        <v>62.1</v>
      </c>
      <c r="T18" s="201">
        <v>52.8</v>
      </c>
      <c r="U18" s="201">
        <v>39.200000000000003</v>
      </c>
      <c r="V18" s="246">
        <f>(B18/L18)^(1/10)-1</f>
        <v>6.5707026974044513E-2</v>
      </c>
      <c r="W18" s="202"/>
      <c r="X18" t="s">
        <v>118</v>
      </c>
      <c r="Y18" s="202">
        <f t="shared" ref="Y18:AI18" si="11">SUM(Y15:Y17)</f>
        <v>1145</v>
      </c>
      <c r="Z18" s="202">
        <f t="shared" si="11"/>
        <v>1136</v>
      </c>
      <c r="AA18" s="202">
        <f t="shared" si="11"/>
        <v>1056.2</v>
      </c>
      <c r="AB18" s="202">
        <f t="shared" si="11"/>
        <v>920</v>
      </c>
      <c r="AC18" s="202">
        <f t="shared" si="11"/>
        <v>782.09999999999991</v>
      </c>
      <c r="AD18" s="202">
        <f t="shared" si="11"/>
        <v>692.7</v>
      </c>
      <c r="AE18" s="202">
        <f t="shared" si="11"/>
        <v>600.70000000000005</v>
      </c>
      <c r="AF18" s="202">
        <f t="shared" si="11"/>
        <v>432.9</v>
      </c>
      <c r="AG18" s="202">
        <f t="shared" si="11"/>
        <v>344.5</v>
      </c>
      <c r="AH18" s="202">
        <f t="shared" si="11"/>
        <v>272.7</v>
      </c>
      <c r="AI18" s="202">
        <f t="shared" si="11"/>
        <v>161.39999999999998</v>
      </c>
      <c r="AJ18" s="200">
        <f>+(Y18/AI18)^(1/10)-1</f>
        <v>0.21643860816848925</v>
      </c>
      <c r="AK18" s="205"/>
    </row>
    <row r="19" spans="1:37" x14ac:dyDescent="0.3">
      <c r="A19" s="249" t="s">
        <v>141</v>
      </c>
      <c r="B19" s="488">
        <f t="shared" ref="B19" si="12">SUM(B15:B18)</f>
        <v>1643.5</v>
      </c>
      <c r="C19" s="383">
        <f t="shared" ref="C19:H19" si="13">SUM(C15:C18)</f>
        <v>1751</v>
      </c>
      <c r="D19" s="383">
        <f t="shared" si="13"/>
        <v>1848.3000000000002</v>
      </c>
      <c r="E19" s="383">
        <f t="shared" si="13"/>
        <v>1797.4</v>
      </c>
      <c r="F19" s="383">
        <f t="shared" si="13"/>
        <v>1802.1</v>
      </c>
      <c r="G19" s="383">
        <f t="shared" si="13"/>
        <v>1434.2</v>
      </c>
      <c r="H19" s="383">
        <f t="shared" si="13"/>
        <v>1619.7999999999997</v>
      </c>
      <c r="I19" s="383">
        <f t="shared" ref="I19" si="14">SUM(I15:I18)</f>
        <v>1588</v>
      </c>
      <c r="J19" s="383">
        <f>SUM(J15:J18)</f>
        <v>1456</v>
      </c>
      <c r="K19" s="202">
        <f t="shared" ref="K19:L19" si="15">SUM(K15:K18)</f>
        <v>1282.5</v>
      </c>
      <c r="L19" s="202">
        <f t="shared" si="15"/>
        <v>1213.5</v>
      </c>
      <c r="M19" s="202">
        <f>SUM(M15:M18)</f>
        <v>1183.3</v>
      </c>
      <c r="N19" s="202">
        <f>SUM(N15:N18)</f>
        <v>1027.3</v>
      </c>
      <c r="O19" s="202">
        <f>SUM(O15:O18)</f>
        <v>1004.8000000000001</v>
      </c>
      <c r="P19" s="202">
        <f>SUM(P15:P18)</f>
        <v>932.4</v>
      </c>
      <c r="Q19" s="202">
        <f t="shared" ref="Q19:U19" si="16">SUM(Q15:Q18)</f>
        <v>766</v>
      </c>
      <c r="R19" s="202">
        <f t="shared" si="16"/>
        <v>1050.7</v>
      </c>
      <c r="S19" s="202">
        <f t="shared" si="16"/>
        <v>1105.3</v>
      </c>
      <c r="T19" s="202">
        <f t="shared" si="16"/>
        <v>1012.3999999999999</v>
      </c>
      <c r="U19" s="202">
        <f t="shared" si="16"/>
        <v>980.2</v>
      </c>
      <c r="V19" s="246"/>
      <c r="W19" s="47"/>
      <c r="X19" s="46" t="s">
        <v>56</v>
      </c>
      <c r="Y19" s="47">
        <f t="shared" ref="Y19:AI19" si="17">+SUM(Y15:Y17)/Y20</f>
        <v>0.2079549582273883</v>
      </c>
      <c r="Z19" s="47">
        <f t="shared" si="17"/>
        <v>0.21438007171164369</v>
      </c>
      <c r="AA19" s="47">
        <f>+SUM(AA15:AA17)/AA20</f>
        <v>0.20768852620194672</v>
      </c>
      <c r="AB19" s="47">
        <f t="shared" si="17"/>
        <v>0.20966271649954421</v>
      </c>
      <c r="AC19" s="47">
        <f t="shared" si="17"/>
        <v>0.18308441406432882</v>
      </c>
      <c r="AD19" s="47">
        <f t="shared" si="17"/>
        <v>0.16838446205454816</v>
      </c>
      <c r="AE19" s="47">
        <f t="shared" si="17"/>
        <v>0.14047190328087367</v>
      </c>
      <c r="AF19" s="47">
        <f t="shared" si="17"/>
        <v>0.11456320956942863</v>
      </c>
      <c r="AG19" s="47">
        <f t="shared" si="17"/>
        <v>0.10221338713505815</v>
      </c>
      <c r="AH19" s="47">
        <f t="shared" si="17"/>
        <v>9.3733887876808863E-2</v>
      </c>
      <c r="AI19" s="47">
        <f t="shared" si="17"/>
        <v>6.5444813883707709E-2</v>
      </c>
      <c r="AJ19" s="2"/>
    </row>
    <row r="20" spans="1:37" ht="17.25" customHeight="1" thickBot="1" x14ac:dyDescent="0.35">
      <c r="A20" s="250" t="s">
        <v>142</v>
      </c>
      <c r="B20" s="484">
        <f t="shared" ref="B20" si="18">+SUM(B15:B18)/B21</f>
        <v>0.40529210130453008</v>
      </c>
      <c r="C20" s="47">
        <f t="shared" ref="C20:H20" si="19">+SUM(C15:C18)/C21</f>
        <v>0.39944337987042616</v>
      </c>
      <c r="D20" s="47">
        <f t="shared" si="19"/>
        <v>0.39114976826868147</v>
      </c>
      <c r="E20" s="47">
        <f t="shared" si="19"/>
        <v>0.34923348942040533</v>
      </c>
      <c r="F20" s="47">
        <f t="shared" si="19"/>
        <v>0.35526160154555847</v>
      </c>
      <c r="G20" s="47">
        <f t="shared" si="19"/>
        <v>0.33507780010279897</v>
      </c>
      <c r="H20" s="47">
        <f t="shared" si="19"/>
        <v>0.34083114150447125</v>
      </c>
      <c r="I20" s="47">
        <f t="shared" ref="I20" si="20">+SUM(I15:I18)/I21</f>
        <v>0.37194050825623609</v>
      </c>
      <c r="J20" s="47">
        <f>+SUM(J15:J18)/J21</f>
        <v>0.36918707845225418</v>
      </c>
      <c r="K20" s="47">
        <f t="shared" ref="K20:L20" si="21">+SUM(K15:K18)/K21</f>
        <v>0.34200912024320645</v>
      </c>
      <c r="L20" s="47">
        <f t="shared" si="21"/>
        <v>0.30978760339017664</v>
      </c>
      <c r="M20" s="47">
        <f>+SUM(M15:M18)/M21</f>
        <v>0.31285196837902862</v>
      </c>
      <c r="N20" s="47">
        <f>+SUM(N15:N18)/N21</f>
        <v>0.29543885885194987</v>
      </c>
      <c r="O20" s="47">
        <f>+SUM(O15:O18)/O21</f>
        <v>0.30419908570736581</v>
      </c>
      <c r="P20" s="47">
        <f>+SUM(P15:P18)/P21</f>
        <v>0.27757435027239435</v>
      </c>
      <c r="Q20" s="47">
        <f t="shared" ref="Q20:U20" si="22">+SUM(Q15:Q18)/Q21</f>
        <v>0.2507282903996596</v>
      </c>
      <c r="R20" s="47">
        <f t="shared" si="22"/>
        <v>0.25777090846642625</v>
      </c>
      <c r="S20" s="47">
        <f t="shared" si="22"/>
        <v>0.26007058823529411</v>
      </c>
      <c r="T20" s="47">
        <f t="shared" si="22"/>
        <v>0.2372682743912442</v>
      </c>
      <c r="U20" s="47">
        <f t="shared" si="22"/>
        <v>0.23354220771485071</v>
      </c>
      <c r="V20" s="246"/>
      <c r="W20" s="202"/>
      <c r="X20" s="3" t="s">
        <v>1</v>
      </c>
      <c r="Y20" s="77">
        <f>SUM(Y12,Y15:Y17)</f>
        <v>5506</v>
      </c>
      <c r="Z20" s="77">
        <f t="shared" ref="Z20:AI20" si="23">SUM(Z12,Z15:Z17)</f>
        <v>5299</v>
      </c>
      <c r="AA20" s="77">
        <f t="shared" si="23"/>
        <v>5085.5</v>
      </c>
      <c r="AB20" s="77">
        <f t="shared" si="23"/>
        <v>4388</v>
      </c>
      <c r="AC20" s="77">
        <f t="shared" si="23"/>
        <v>4271.8</v>
      </c>
      <c r="AD20" s="77">
        <f t="shared" si="23"/>
        <v>4113.7999999999993</v>
      </c>
      <c r="AE20" s="77">
        <f t="shared" si="23"/>
        <v>4276.3</v>
      </c>
      <c r="AF20" s="77">
        <f t="shared" si="23"/>
        <v>3778.7000000000003</v>
      </c>
      <c r="AG20" s="77">
        <f t="shared" si="23"/>
        <v>3370.4</v>
      </c>
      <c r="AH20" s="77">
        <f t="shared" si="23"/>
        <v>2909.2999999999997</v>
      </c>
      <c r="AI20" s="77">
        <f t="shared" si="23"/>
        <v>2466.2000000000003</v>
      </c>
      <c r="AJ20" s="200">
        <f>+(Y20/AI20)^(1/10)-1</f>
        <v>8.3629429889667373E-2</v>
      </c>
    </row>
    <row r="21" spans="1:37" ht="17.25" customHeight="1" thickBot="1" x14ac:dyDescent="0.35">
      <c r="A21" s="248" t="s">
        <v>143</v>
      </c>
      <c r="B21" s="489">
        <f t="shared" ref="B21" si="24">SUM(B12,B15:B18)</f>
        <v>4055.1000000000004</v>
      </c>
      <c r="C21" s="384">
        <f t="shared" ref="C21:H21" si="25">SUM(C12,C15:C18)</f>
        <v>4383.5999999999995</v>
      </c>
      <c r="D21" s="384">
        <f t="shared" si="25"/>
        <v>4725.2999999999993</v>
      </c>
      <c r="E21" s="384">
        <f t="shared" si="25"/>
        <v>5146.7</v>
      </c>
      <c r="F21" s="384">
        <f t="shared" si="25"/>
        <v>5072.6000000000004</v>
      </c>
      <c r="G21" s="384">
        <f t="shared" si="25"/>
        <v>4280.2</v>
      </c>
      <c r="H21" s="384">
        <f t="shared" si="25"/>
        <v>4752.5</v>
      </c>
      <c r="I21" s="384">
        <f t="shared" ref="I21" si="26">SUM(I12,I15:I18)</f>
        <v>4269.5</v>
      </c>
      <c r="J21" s="384">
        <f>SUM(J12,J15:J18)</f>
        <v>3943.8</v>
      </c>
      <c r="K21" s="77">
        <f t="shared" ref="K21:L21" si="27">SUM(K12,K15:K18)</f>
        <v>3749.9</v>
      </c>
      <c r="L21" s="77">
        <f t="shared" si="27"/>
        <v>3917.2000000000003</v>
      </c>
      <c r="M21" s="77">
        <f>SUM(M12,M15:M18)</f>
        <v>3782.2999999999997</v>
      </c>
      <c r="N21" s="77">
        <f>SUM(N12,N15:N18)</f>
        <v>3477.2</v>
      </c>
      <c r="O21" s="77">
        <f>SUM(O12,O15:O18)</f>
        <v>3303.1</v>
      </c>
      <c r="P21" s="77">
        <f>SUM(P12,P15:P18)</f>
        <v>3359.1000000000004</v>
      </c>
      <c r="Q21" s="77">
        <f t="shared" ref="Q21:U21" si="28">SUM(Q12,Q15:Q18)</f>
        <v>3055.1</v>
      </c>
      <c r="R21" s="77">
        <f t="shared" si="28"/>
        <v>4076.1</v>
      </c>
      <c r="S21" s="77">
        <f t="shared" si="28"/>
        <v>4250</v>
      </c>
      <c r="T21" s="77">
        <f t="shared" si="28"/>
        <v>4266.8999999999996</v>
      </c>
      <c r="U21" s="77">
        <f t="shared" si="28"/>
        <v>4197.1000000000004</v>
      </c>
      <c r="V21" s="246">
        <f>(B21/L21)^(1/10)-1</f>
        <v>3.4658156290994224E-3</v>
      </c>
      <c r="W21" s="63"/>
      <c r="X21" s="6" t="s">
        <v>82</v>
      </c>
      <c r="Y21" s="64"/>
      <c r="Z21" s="238"/>
      <c r="AA21" s="239"/>
      <c r="AB21" s="238"/>
      <c r="AC21" s="239"/>
      <c r="AD21" s="239"/>
      <c r="AE21" s="238"/>
      <c r="AF21" s="238"/>
      <c r="AG21" s="238"/>
      <c r="AH21" s="238"/>
      <c r="AI21" s="238"/>
      <c r="AJ21" s="240"/>
    </row>
    <row r="22" spans="1:37" x14ac:dyDescent="0.3">
      <c r="D22" s="6"/>
      <c r="E22" s="6"/>
      <c r="F22" s="6"/>
      <c r="G22" s="6"/>
      <c r="H22" s="6"/>
      <c r="I22" s="6"/>
      <c r="J22" s="6"/>
      <c r="K22" s="64"/>
      <c r="L22" s="63"/>
      <c r="M22" s="63"/>
      <c r="N22" s="63"/>
      <c r="O22" s="63"/>
      <c r="P22" s="63"/>
      <c r="Q22" s="63"/>
      <c r="R22" s="63"/>
      <c r="S22" s="64"/>
      <c r="T22" s="64"/>
      <c r="U22" s="64"/>
      <c r="V22" s="240"/>
      <c r="W22" s="203"/>
      <c r="Y22" s="203" t="s">
        <v>144</v>
      </c>
      <c r="Z22" s="203" t="s">
        <v>167</v>
      </c>
      <c r="AA22" s="203" t="s">
        <v>129</v>
      </c>
      <c r="AB22" s="203" t="s">
        <v>125</v>
      </c>
      <c r="AC22" s="203"/>
      <c r="AD22" s="203"/>
      <c r="AE22" s="203" t="s">
        <v>83</v>
      </c>
      <c r="AF22" s="203" t="s">
        <v>86</v>
      </c>
      <c r="AG22" s="203" t="s">
        <v>88</v>
      </c>
      <c r="AH22" s="203" t="s">
        <v>90</v>
      </c>
      <c r="AI22" s="203" t="s">
        <v>92</v>
      </c>
      <c r="AJ22" s="240"/>
    </row>
    <row r="23" spans="1:37" x14ac:dyDescent="0.3">
      <c r="A23" s="6" t="s">
        <v>82</v>
      </c>
      <c r="B23" s="6"/>
      <c r="E23" s="412" t="s">
        <v>92</v>
      </c>
      <c r="F23" s="412" t="s">
        <v>256</v>
      </c>
      <c r="H23" s="6"/>
      <c r="I23" s="6"/>
      <c r="J23" s="6"/>
      <c r="K23" s="6"/>
      <c r="L23" s="203" t="s">
        <v>209</v>
      </c>
      <c r="M23" s="48"/>
      <c r="N23" s="203" t="s">
        <v>195</v>
      </c>
      <c r="O23" s="48"/>
      <c r="P23" s="48"/>
      <c r="Q23" s="48"/>
      <c r="R23" s="48"/>
      <c r="S23" s="203"/>
      <c r="T23" s="36" t="s">
        <v>144</v>
      </c>
      <c r="U23" s="28" t="s">
        <v>133</v>
      </c>
      <c r="V23" s="240"/>
      <c r="W23" s="203"/>
      <c r="Y23" s="203"/>
      <c r="Z23" s="203" t="s">
        <v>166</v>
      </c>
      <c r="AA23" s="203" t="s">
        <v>130</v>
      </c>
      <c r="AB23" s="203"/>
      <c r="AC23" s="203"/>
      <c r="AD23" s="203"/>
      <c r="AE23" s="203" t="s">
        <v>84</v>
      </c>
      <c r="AF23" s="203" t="s">
        <v>87</v>
      </c>
      <c r="AG23" s="203" t="s">
        <v>89</v>
      </c>
      <c r="AH23" s="203" t="s">
        <v>91</v>
      </c>
      <c r="AI23" s="203" t="s">
        <v>126</v>
      </c>
      <c r="AJ23" s="240"/>
    </row>
    <row r="24" spans="1:37" x14ac:dyDescent="0.3">
      <c r="K24" s="48"/>
      <c r="L24" s="48"/>
      <c r="M24" s="48"/>
      <c r="N24" s="48"/>
      <c r="O24" s="48"/>
      <c r="P24" s="48"/>
      <c r="Q24" s="48"/>
      <c r="R24" s="48"/>
      <c r="S24" s="203"/>
      <c r="T24" s="203"/>
      <c r="U24" s="203"/>
      <c r="V24" s="240"/>
      <c r="W24" s="203"/>
      <c r="Y24" s="203"/>
      <c r="Z24" s="203"/>
      <c r="AA24" s="203"/>
      <c r="AB24" s="203"/>
      <c r="AC24" s="203"/>
      <c r="AD24" s="203"/>
      <c r="AE24" s="203" t="s">
        <v>85</v>
      </c>
      <c r="AF24" s="203"/>
      <c r="AG24" s="203"/>
      <c r="AH24" s="203" t="s">
        <v>145</v>
      </c>
      <c r="AI24" s="203"/>
      <c r="AJ24" s="240"/>
    </row>
    <row r="25" spans="1:37" ht="12.5" x14ac:dyDescent="0.25">
      <c r="K25"/>
      <c r="L25"/>
      <c r="M25"/>
      <c r="N25"/>
      <c r="O25"/>
      <c r="P25"/>
      <c r="Q25"/>
      <c r="R25"/>
      <c r="S25"/>
      <c r="T25"/>
      <c r="U25"/>
      <c r="W25" s="68"/>
      <c r="Y25" s="68"/>
      <c r="Z25" s="241"/>
      <c r="AA25" s="241"/>
      <c r="AB25" s="241"/>
      <c r="AC25" s="241"/>
      <c r="AD25" s="241"/>
      <c r="AE25" s="241"/>
      <c r="AF25" s="241"/>
      <c r="AG25" s="241"/>
      <c r="AH25" s="203"/>
      <c r="AI25" s="241"/>
      <c r="AJ25" s="240"/>
    </row>
    <row r="26" spans="1:37" ht="15.5" hidden="1" thickBot="1" x14ac:dyDescent="0.35">
      <c r="A26" s="220" t="s">
        <v>314</v>
      </c>
      <c r="B26" s="220"/>
      <c r="D26" s="2"/>
      <c r="E26" s="2"/>
      <c r="F26" s="2"/>
      <c r="G26" s="2"/>
      <c r="H26" s="2"/>
      <c r="I26" s="2"/>
      <c r="J26" s="2"/>
      <c r="K26"/>
      <c r="L26"/>
      <c r="M26"/>
      <c r="N26"/>
      <c r="O26"/>
      <c r="P26"/>
      <c r="Q26"/>
      <c r="R26"/>
      <c r="S26"/>
      <c r="T26"/>
      <c r="U26"/>
      <c r="W26" s="45"/>
      <c r="X26" s="65"/>
      <c r="Y26" s="67"/>
      <c r="Z26" s="67"/>
      <c r="AA26" s="66"/>
      <c r="AB26" s="67"/>
      <c r="AC26" s="66"/>
      <c r="AD26" s="66"/>
      <c r="AE26" s="67"/>
      <c r="AF26" s="67"/>
      <c r="AG26" s="67"/>
      <c r="AH26" s="67"/>
      <c r="AI26" s="67"/>
      <c r="AJ26" s="2"/>
    </row>
    <row r="27" spans="1:37" x14ac:dyDescent="0.3">
      <c r="K27"/>
      <c r="L27"/>
      <c r="M27"/>
      <c r="N27"/>
      <c r="O27"/>
      <c r="P27"/>
      <c r="Q27"/>
      <c r="R27"/>
      <c r="S27"/>
      <c r="T27"/>
      <c r="U27"/>
      <c r="W27" s="45"/>
      <c r="X27" s="6" t="s">
        <v>8</v>
      </c>
      <c r="Y27" s="62"/>
      <c r="Z27" s="62"/>
      <c r="AA27" s="45"/>
      <c r="AB27" s="62"/>
      <c r="AC27" s="45"/>
      <c r="AD27" s="45"/>
      <c r="AE27" s="62"/>
      <c r="AF27" s="62"/>
      <c r="AG27" s="62"/>
      <c r="AH27" s="62"/>
      <c r="AI27" s="62"/>
      <c r="AJ27" s="2"/>
    </row>
    <row r="28" spans="1:37" x14ac:dyDescent="0.3">
      <c r="K28"/>
      <c r="L28"/>
      <c r="M28"/>
      <c r="N28"/>
      <c r="O28"/>
      <c r="P28"/>
      <c r="Q28"/>
      <c r="R28"/>
      <c r="S28"/>
      <c r="T28"/>
      <c r="U28"/>
      <c r="W28" s="209"/>
      <c r="X28" t="s">
        <v>6</v>
      </c>
      <c r="Y28" s="76">
        <v>1727.3</v>
      </c>
      <c r="Z28" s="76">
        <v>1694</v>
      </c>
      <c r="AA28" s="76">
        <v>1553.9</v>
      </c>
      <c r="AB28" s="76">
        <v>1552</v>
      </c>
      <c r="AC28" s="76">
        <v>1591.1</v>
      </c>
      <c r="AD28" s="76">
        <v>1591.5</v>
      </c>
      <c r="AE28" s="76">
        <v>1593.3</v>
      </c>
      <c r="AF28" s="76">
        <v>1421.4</v>
      </c>
      <c r="AG28" s="76">
        <v>1183.8</v>
      </c>
      <c r="AH28" s="76">
        <v>989.2</v>
      </c>
      <c r="AI28" s="76">
        <v>824.7</v>
      </c>
      <c r="AJ28" s="200">
        <f>+(Y28/AI28)^(1/10)-1</f>
        <v>7.6730903075538315E-2</v>
      </c>
    </row>
    <row r="29" spans="1:37" ht="12.5" x14ac:dyDescent="0.25">
      <c r="K29"/>
      <c r="L29"/>
      <c r="M29"/>
      <c r="N29"/>
      <c r="O29"/>
      <c r="P29"/>
      <c r="Q29"/>
      <c r="R29"/>
      <c r="S29"/>
      <c r="T29"/>
      <c r="U29"/>
      <c r="W29" s="202"/>
      <c r="X29" t="s">
        <v>7</v>
      </c>
      <c r="Y29" s="201">
        <f>+Y31-Y28</f>
        <v>643.89999999999986</v>
      </c>
      <c r="Z29" s="201">
        <f>+Z31-Z28</f>
        <v>595</v>
      </c>
      <c r="AA29" s="201">
        <f>+AA31-AA28</f>
        <v>578.5</v>
      </c>
      <c r="AB29" s="201">
        <v>518</v>
      </c>
      <c r="AC29" s="201">
        <v>422</v>
      </c>
      <c r="AD29" s="201">
        <f>159.8+239.7</f>
        <v>399.5</v>
      </c>
      <c r="AE29" s="201">
        <v>374.6</v>
      </c>
      <c r="AF29" s="201">
        <v>299.89999999999998</v>
      </c>
      <c r="AG29" s="201">
        <v>214.4</v>
      </c>
      <c r="AH29" s="201">
        <v>172.5</v>
      </c>
      <c r="AI29" s="201">
        <v>124.9</v>
      </c>
      <c r="AJ29" s="200">
        <f>+(Y29/AI29)^(1/10)-1</f>
        <v>0.17821785179255367</v>
      </c>
    </row>
    <row r="30" spans="1:37" x14ac:dyDescent="0.3">
      <c r="K30"/>
      <c r="L30"/>
      <c r="M30"/>
      <c r="N30"/>
      <c r="O30"/>
      <c r="P30"/>
      <c r="Q30"/>
      <c r="R30"/>
      <c r="S30"/>
      <c r="T30"/>
      <c r="U30"/>
      <c r="W30" s="47"/>
      <c r="X30" s="46" t="s">
        <v>56</v>
      </c>
      <c r="Y30" s="47">
        <f t="shared" ref="Y30:AI30" si="29">+Y29/Y31</f>
        <v>0.27155026990553305</v>
      </c>
      <c r="Z30" s="47">
        <f t="shared" si="29"/>
        <v>0.25993883792048927</v>
      </c>
      <c r="AA30" s="47">
        <f t="shared" si="29"/>
        <v>0.27129056462202211</v>
      </c>
      <c r="AB30" s="47">
        <f t="shared" si="29"/>
        <v>0.25024154589371983</v>
      </c>
      <c r="AC30" s="47">
        <f t="shared" si="29"/>
        <v>0.20962694351994438</v>
      </c>
      <c r="AD30" s="47">
        <f t="shared" si="29"/>
        <v>0.20065293822199901</v>
      </c>
      <c r="AE30" s="47">
        <f t="shared" si="29"/>
        <v>0.19035520097565933</v>
      </c>
      <c r="AF30" s="47">
        <f t="shared" si="29"/>
        <v>0.17422878057282284</v>
      </c>
      <c r="AG30" s="47">
        <f t="shared" si="29"/>
        <v>0.15334000858246316</v>
      </c>
      <c r="AH30" s="47">
        <f t="shared" si="29"/>
        <v>0.14848928294740465</v>
      </c>
      <c r="AI30" s="47">
        <f t="shared" si="29"/>
        <v>0.1315290648694187</v>
      </c>
      <c r="AJ30" s="2"/>
    </row>
    <row r="31" spans="1:37" ht="17.25" customHeight="1" thickBot="1" x14ac:dyDescent="0.35">
      <c r="K31"/>
      <c r="L31"/>
      <c r="M31"/>
      <c r="N31"/>
      <c r="O31"/>
      <c r="P31"/>
      <c r="Q31"/>
      <c r="R31"/>
      <c r="S31"/>
      <c r="T31"/>
      <c r="U31"/>
      <c r="W31" s="209"/>
      <c r="X31" s="3" t="s">
        <v>1</v>
      </c>
      <c r="Y31" s="77">
        <v>2371.1999999999998</v>
      </c>
      <c r="Z31" s="77">
        <v>2289</v>
      </c>
      <c r="AA31" s="77">
        <v>2132.4</v>
      </c>
      <c r="AB31" s="77">
        <f t="shared" ref="AB31:AI31" si="30">SUM(AB28:AB29)</f>
        <v>2070</v>
      </c>
      <c r="AC31" s="77">
        <f t="shared" si="30"/>
        <v>2013.1</v>
      </c>
      <c r="AD31" s="77">
        <f t="shared" si="30"/>
        <v>1991</v>
      </c>
      <c r="AE31" s="77">
        <f t="shared" si="30"/>
        <v>1967.9</v>
      </c>
      <c r="AF31" s="77">
        <f t="shared" si="30"/>
        <v>1721.3000000000002</v>
      </c>
      <c r="AG31" s="77">
        <f t="shared" si="30"/>
        <v>1398.2</v>
      </c>
      <c r="AH31" s="77">
        <f t="shared" si="30"/>
        <v>1161.7</v>
      </c>
      <c r="AI31" s="77">
        <f t="shared" si="30"/>
        <v>949.6</v>
      </c>
      <c r="AJ31" s="200">
        <f>+(Y31/AI31)^(1/10)-1</f>
        <v>9.5828895595225561E-2</v>
      </c>
    </row>
    <row r="32" spans="1:37" x14ac:dyDescent="0.3">
      <c r="K32"/>
      <c r="L32"/>
      <c r="M32"/>
      <c r="N32"/>
      <c r="O32"/>
      <c r="P32"/>
      <c r="Q32"/>
      <c r="R32"/>
      <c r="S32"/>
      <c r="T32"/>
      <c r="U32"/>
      <c r="W32" s="2"/>
      <c r="Y32" s="2"/>
      <c r="Z32" s="2"/>
      <c r="AA32" s="2"/>
      <c r="AB32" s="2"/>
      <c r="AE32" s="2"/>
      <c r="AF32" s="2"/>
      <c r="AG32" s="2"/>
      <c r="AH32" s="2"/>
      <c r="AI32" s="2"/>
      <c r="AJ32" s="2"/>
    </row>
    <row r="33" spans="11:36" x14ac:dyDescent="0.3">
      <c r="K33" s="6"/>
      <c r="L33" s="6"/>
      <c r="M33" s="6"/>
      <c r="N33" s="6"/>
      <c r="O33" s="6"/>
      <c r="P33" s="6"/>
      <c r="Q33" s="6"/>
      <c r="R33" s="6"/>
      <c r="S33" s="6"/>
      <c r="T33" s="2"/>
      <c r="U33" s="2"/>
      <c r="V33" s="2"/>
      <c r="W33" s="2"/>
      <c r="Y33" s="2"/>
      <c r="Z33" s="2"/>
      <c r="AA33" s="2"/>
      <c r="AB33" s="2"/>
      <c r="AE33" s="2"/>
      <c r="AF33" s="2"/>
      <c r="AG33" s="2"/>
      <c r="AH33" s="2"/>
      <c r="AI33" s="2"/>
      <c r="AJ33" s="2"/>
    </row>
    <row r="34" spans="11:36" x14ac:dyDescent="0.3">
      <c r="K34" s="6"/>
      <c r="L34" s="6"/>
      <c r="M34" s="6"/>
      <c r="N34" s="6"/>
      <c r="O34" s="6"/>
      <c r="P34" s="6"/>
      <c r="Q34" s="6"/>
      <c r="R34" s="6"/>
      <c r="S34" s="6"/>
      <c r="T34" s="2"/>
      <c r="U34" s="2"/>
      <c r="V34" s="2"/>
      <c r="W34" s="2"/>
      <c r="Y34" s="2"/>
      <c r="Z34" s="2"/>
      <c r="AA34" s="2"/>
      <c r="AB34" s="2"/>
      <c r="AE34" s="2"/>
      <c r="AF34" s="2"/>
      <c r="AG34" s="2"/>
      <c r="AH34" s="2"/>
      <c r="AI34" s="2"/>
      <c r="AJ34" s="2"/>
    </row>
    <row r="35" spans="11:36" x14ac:dyDescent="0.3">
      <c r="K35" s="6"/>
      <c r="L35" s="6"/>
      <c r="M35" s="6"/>
      <c r="N35" s="6"/>
      <c r="O35" s="6"/>
      <c r="P35" s="6"/>
      <c r="Q35" s="6"/>
      <c r="R35" s="6"/>
      <c r="S35" s="6"/>
      <c r="T35" s="2"/>
      <c r="U35" s="2"/>
      <c r="V35" s="2"/>
      <c r="W35" s="2"/>
      <c r="Y35" s="2"/>
      <c r="Z35" s="2"/>
      <c r="AA35" s="2"/>
      <c r="AB35" s="2"/>
      <c r="AF35" s="2"/>
      <c r="AG35" s="2"/>
      <c r="AH35" s="2"/>
      <c r="AI35" s="2"/>
      <c r="AJ35" s="2"/>
    </row>
    <row r="36" spans="11:36" x14ac:dyDescent="0.3">
      <c r="K36" s="6"/>
      <c r="L36" s="6"/>
      <c r="M36" s="6"/>
      <c r="N36" s="6"/>
      <c r="O36" s="6"/>
      <c r="P36" s="6"/>
      <c r="Q36" s="6"/>
      <c r="R36" s="6"/>
      <c r="S36" s="6"/>
      <c r="T36" s="2"/>
      <c r="U36" s="2"/>
      <c r="V36" s="2"/>
      <c r="W36" s="2"/>
      <c r="Y36" s="2"/>
      <c r="Z36" s="2"/>
      <c r="AA36" s="2"/>
      <c r="AB36" s="2"/>
      <c r="AF36" s="2"/>
      <c r="AG36" s="2"/>
      <c r="AH36" s="2"/>
      <c r="AI36" s="2"/>
      <c r="AJ36" s="2"/>
    </row>
    <row r="37" spans="11:36" x14ac:dyDescent="0.3">
      <c r="K37" s="6"/>
      <c r="L37" s="6"/>
      <c r="M37" s="6"/>
      <c r="N37" s="6"/>
      <c r="O37" s="6"/>
      <c r="P37" s="6"/>
      <c r="Q37" s="6"/>
      <c r="R37" s="6"/>
      <c r="S37" s="6"/>
      <c r="T37" s="2"/>
      <c r="U37" s="2"/>
      <c r="V37" s="2"/>
      <c r="W37" s="2"/>
      <c r="Y37" s="2"/>
      <c r="Z37" s="2"/>
      <c r="AA37" s="2"/>
      <c r="AB37" s="2"/>
      <c r="AF37" s="2"/>
      <c r="AG37" s="2"/>
      <c r="AH37" s="2"/>
      <c r="AI37" s="2"/>
      <c r="AJ37" s="2"/>
    </row>
    <row r="38" spans="11:36" x14ac:dyDescent="0.3">
      <c r="K38" s="6"/>
      <c r="L38" s="6"/>
      <c r="M38" s="6"/>
      <c r="N38" s="6"/>
      <c r="O38" s="6"/>
      <c r="P38" s="6"/>
      <c r="Q38" s="6"/>
      <c r="R38" s="6"/>
      <c r="S38" s="6"/>
      <c r="T38" s="2"/>
      <c r="U38" s="2"/>
      <c r="V38" s="2"/>
      <c r="W38" s="2"/>
      <c r="Y38" s="2"/>
      <c r="Z38" s="2"/>
      <c r="AA38" s="2"/>
      <c r="AB38" s="2"/>
      <c r="AF38" s="2"/>
      <c r="AG38" s="2"/>
      <c r="AH38" s="2"/>
      <c r="AI38" s="2"/>
      <c r="AJ38" s="2"/>
    </row>
    <row r="39" spans="11:36" x14ac:dyDescent="0.3">
      <c r="K39" s="6"/>
      <c r="L39" s="6"/>
      <c r="M39" s="6"/>
      <c r="N39" s="6"/>
      <c r="O39" s="6"/>
      <c r="P39" s="6"/>
      <c r="Q39" s="6"/>
      <c r="R39" s="6"/>
      <c r="S39" s="6"/>
      <c r="T39" s="2"/>
      <c r="U39" s="2"/>
      <c r="V39" s="2"/>
      <c r="W39" s="2"/>
      <c r="Y39" s="2"/>
      <c r="Z39" s="2"/>
      <c r="AA39" s="2"/>
      <c r="AB39" s="2"/>
      <c r="AF39" s="2"/>
      <c r="AG39" s="2"/>
      <c r="AH39" s="2"/>
      <c r="AI39" s="2"/>
      <c r="AJ39" s="2"/>
    </row>
    <row r="40" spans="11:36" x14ac:dyDescent="0.3">
      <c r="K40" s="6"/>
      <c r="L40" s="6"/>
      <c r="M40" s="6"/>
      <c r="N40" s="6"/>
      <c r="O40" s="6"/>
      <c r="P40" s="6"/>
      <c r="Q40" s="6"/>
      <c r="R40" s="6"/>
      <c r="S40" s="6"/>
      <c r="T40" s="2"/>
      <c r="U40" s="2"/>
      <c r="V40" s="2"/>
      <c r="W40" s="2"/>
      <c r="Y40" s="2"/>
      <c r="Z40" s="2"/>
      <c r="AA40" s="2"/>
      <c r="AB40" s="2"/>
      <c r="AF40" s="2"/>
      <c r="AG40" s="2"/>
      <c r="AH40" s="2"/>
      <c r="AI40" s="2"/>
      <c r="AJ40" s="2"/>
    </row>
    <row r="41" spans="11:36" x14ac:dyDescent="0.3">
      <c r="K41" s="6"/>
      <c r="L41" s="6"/>
      <c r="M41" s="6"/>
      <c r="N41" s="6"/>
      <c r="O41" s="6"/>
      <c r="P41" s="6"/>
      <c r="Q41" s="6"/>
      <c r="R41" s="6"/>
      <c r="S41" s="6"/>
      <c r="T41" s="2"/>
      <c r="U41" s="2"/>
      <c r="V41" s="2"/>
      <c r="W41" s="2"/>
      <c r="Y41" s="2"/>
      <c r="Z41" s="2"/>
      <c r="AA41" s="2"/>
      <c r="AB41" s="2"/>
      <c r="AF41" s="2"/>
      <c r="AG41" s="2"/>
      <c r="AH41" s="2"/>
      <c r="AI41" s="2"/>
      <c r="AJ41" s="2"/>
    </row>
    <row r="42" spans="11:36" x14ac:dyDescent="0.3">
      <c r="K42" s="6"/>
      <c r="L42" s="6"/>
      <c r="M42" s="6"/>
      <c r="N42" s="6"/>
      <c r="O42" s="6"/>
      <c r="P42" s="6"/>
      <c r="Q42" s="6"/>
      <c r="R42" s="6"/>
      <c r="S42" s="6"/>
      <c r="T42" s="2"/>
      <c r="U42" s="2"/>
      <c r="V42" s="2"/>
      <c r="W42" s="2"/>
      <c r="Y42" s="2"/>
      <c r="Z42" s="2"/>
      <c r="AA42" s="2"/>
      <c r="AB42" s="2"/>
      <c r="AF42" s="2"/>
      <c r="AG42" s="2"/>
      <c r="AH42" s="2"/>
      <c r="AI42" s="2"/>
      <c r="AJ42" s="2"/>
    </row>
    <row r="43" spans="11:36" x14ac:dyDescent="0.3">
      <c r="K43" s="6"/>
      <c r="L43" s="6"/>
      <c r="M43" s="6"/>
      <c r="N43" s="6"/>
      <c r="O43" s="6"/>
      <c r="P43" s="6"/>
      <c r="Q43" s="6"/>
      <c r="R43" s="6"/>
      <c r="S43" s="6"/>
      <c r="T43" s="2"/>
      <c r="U43" s="2"/>
      <c r="V43" s="2"/>
      <c r="W43" s="2"/>
      <c r="Y43" s="2"/>
      <c r="Z43" s="2"/>
      <c r="AA43" s="2"/>
      <c r="AB43" s="2"/>
      <c r="AF43" s="2"/>
      <c r="AG43" s="2"/>
      <c r="AH43" s="2"/>
      <c r="AI43" s="2"/>
      <c r="AJ43" s="2"/>
    </row>
    <row r="44" spans="11:36" x14ac:dyDescent="0.3">
      <c r="K44" s="6"/>
      <c r="L44" s="6"/>
      <c r="M44" s="6"/>
      <c r="N44" s="6"/>
      <c r="O44" s="6"/>
      <c r="P44" s="6"/>
      <c r="Q44" s="6"/>
      <c r="R44" s="6"/>
      <c r="S44" s="6"/>
      <c r="T44" s="2"/>
      <c r="U44" s="2"/>
      <c r="V44" s="2"/>
      <c r="W44" s="2"/>
      <c r="Y44" s="2"/>
      <c r="Z44" s="2"/>
      <c r="AA44" s="2"/>
      <c r="AB44" s="2"/>
      <c r="AF44" s="2"/>
      <c r="AG44" s="2"/>
      <c r="AH44" s="2"/>
      <c r="AI44" s="2"/>
      <c r="AJ44" s="2"/>
    </row>
    <row r="45" spans="11:36" x14ac:dyDescent="0.3">
      <c r="K45" s="6"/>
      <c r="L45" s="6"/>
      <c r="M45" s="6"/>
      <c r="N45" s="6"/>
      <c r="O45" s="6"/>
      <c r="P45" s="6"/>
      <c r="Q45" s="6"/>
      <c r="R45" s="6"/>
      <c r="S45" s="6"/>
      <c r="T45" s="2"/>
      <c r="U45" s="2"/>
      <c r="V45" s="2"/>
      <c r="W45" s="2"/>
      <c r="Y45" s="2"/>
      <c r="Z45" s="2"/>
      <c r="AA45" s="2"/>
      <c r="AB45" s="2"/>
      <c r="AF45" s="2"/>
      <c r="AG45" s="2"/>
      <c r="AH45" s="2"/>
      <c r="AI45" s="2"/>
      <c r="AJ45" s="2"/>
    </row>
    <row r="46" spans="11:36" x14ac:dyDescent="0.3">
      <c r="K46" s="6"/>
      <c r="L46" s="6"/>
      <c r="M46" s="6"/>
      <c r="N46" s="6"/>
      <c r="O46" s="6"/>
      <c r="P46" s="6"/>
      <c r="Q46" s="6"/>
      <c r="R46" s="6"/>
      <c r="S46" s="6"/>
      <c r="T46" s="2"/>
      <c r="U46" s="2"/>
      <c r="V46" s="2"/>
      <c r="W46" s="2"/>
      <c r="Y46" s="2"/>
      <c r="Z46" s="2"/>
      <c r="AA46" s="2"/>
      <c r="AB46" s="2"/>
      <c r="AF46" s="2"/>
      <c r="AG46" s="2"/>
      <c r="AH46" s="2"/>
      <c r="AI46" s="2"/>
      <c r="AJ46" s="2"/>
    </row>
  </sheetData>
  <mergeCells count="2">
    <mergeCell ref="Y9:AI9"/>
    <mergeCell ref="D9:O9"/>
  </mergeCells>
  <phoneticPr fontId="0" type="noConversion"/>
  <printOptions horizontalCentered="1"/>
  <pageMargins left="0.55000000000000004" right="0.3" top="0.5" bottom="0.25" header="0.4" footer="0.4"/>
  <pageSetup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113A0-1C1E-4055-9B14-820AEAE1ED12}">
  <dimension ref="A1:U264"/>
  <sheetViews>
    <sheetView topLeftCell="A14" zoomScaleNormal="100" zoomScaleSheetLayoutView="110" workbookViewId="0">
      <selection activeCell="H53" sqref="H53"/>
    </sheetView>
  </sheetViews>
  <sheetFormatPr defaultColWidth="9.1796875" defaultRowHeight="14.5" x14ac:dyDescent="0.35"/>
  <cols>
    <col min="1" max="1" width="41.81640625" style="432" customWidth="1"/>
    <col min="2" max="2" width="3.26953125" style="432" customWidth="1"/>
    <col min="3" max="17" width="7.26953125" style="432" customWidth="1"/>
    <col min="18" max="16384" width="9.1796875" style="432"/>
  </cols>
  <sheetData>
    <row r="1" spans="1:17" x14ac:dyDescent="0.35">
      <c r="A1" s="430" t="s">
        <v>319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</row>
    <row r="2" spans="1:17" x14ac:dyDescent="0.35">
      <c r="A2" s="431" t="s">
        <v>282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</row>
    <row r="3" spans="1:17" ht="15" x14ac:dyDescent="0.35">
      <c r="A3" s="431"/>
      <c r="B3" s="431"/>
      <c r="C3" s="453" t="s">
        <v>283</v>
      </c>
      <c r="D3" s="453" t="s">
        <v>321</v>
      </c>
      <c r="E3" s="453" t="s">
        <v>322</v>
      </c>
      <c r="F3" s="453" t="s">
        <v>323</v>
      </c>
      <c r="G3" s="453" t="s">
        <v>284</v>
      </c>
      <c r="H3" s="453" t="s">
        <v>324</v>
      </c>
      <c r="I3" s="453" t="s">
        <v>325</v>
      </c>
      <c r="J3" s="453" t="s">
        <v>326</v>
      </c>
      <c r="K3" s="453" t="s">
        <v>327</v>
      </c>
      <c r="L3" s="454" t="s">
        <v>328</v>
      </c>
      <c r="M3" s="454" t="s">
        <v>329</v>
      </c>
      <c r="N3" s="454" t="s">
        <v>330</v>
      </c>
      <c r="O3" s="454" t="s">
        <v>331</v>
      </c>
      <c r="P3" s="454" t="s">
        <v>332</v>
      </c>
      <c r="Q3" s="454" t="s">
        <v>333</v>
      </c>
    </row>
    <row r="4" spans="1:17" x14ac:dyDescent="0.35">
      <c r="A4" s="455" t="s">
        <v>285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</row>
    <row r="5" spans="1:17" x14ac:dyDescent="0.35">
      <c r="A5" s="456" t="s">
        <v>286</v>
      </c>
      <c r="B5" s="456"/>
      <c r="C5" s="457">
        <v>-4</v>
      </c>
      <c r="D5" s="457">
        <v>-9</v>
      </c>
      <c r="E5" s="457">
        <v>-13</v>
      </c>
      <c r="F5" s="458">
        <v>0</v>
      </c>
      <c r="G5" s="458">
        <v>0</v>
      </c>
      <c r="H5" s="458">
        <v>0</v>
      </c>
      <c r="I5" s="459">
        <v>0</v>
      </c>
      <c r="J5" s="458">
        <v>0</v>
      </c>
      <c r="K5" s="458">
        <v>0</v>
      </c>
      <c r="L5" s="459">
        <v>0</v>
      </c>
      <c r="M5" s="457">
        <v>-28.1</v>
      </c>
      <c r="N5" s="457">
        <f>-20.3</f>
        <v>-20.3</v>
      </c>
      <c r="O5" s="457">
        <v>0</v>
      </c>
      <c r="P5" s="457">
        <v>0</v>
      </c>
      <c r="Q5" s="457">
        <v>0</v>
      </c>
    </row>
    <row r="6" spans="1:17" x14ac:dyDescent="0.35">
      <c r="A6" s="456" t="s">
        <v>287</v>
      </c>
      <c r="B6" s="456"/>
      <c r="C6" s="460">
        <v>12</v>
      </c>
      <c r="D6" s="460">
        <v>12</v>
      </c>
      <c r="E6" s="460">
        <v>0</v>
      </c>
      <c r="F6" s="460">
        <v>0</v>
      </c>
      <c r="G6" s="460">
        <v>0</v>
      </c>
      <c r="H6" s="460">
        <v>0</v>
      </c>
      <c r="I6" s="460">
        <v>0</v>
      </c>
      <c r="J6" s="460">
        <v>0</v>
      </c>
      <c r="K6" s="460">
        <v>0</v>
      </c>
      <c r="L6" s="461">
        <v>0</v>
      </c>
      <c r="M6" s="460">
        <v>0</v>
      </c>
      <c r="N6" s="460">
        <v>0</v>
      </c>
      <c r="O6" s="460">
        <v>0</v>
      </c>
      <c r="P6" s="460">
        <v>0</v>
      </c>
      <c r="Q6" s="460">
        <v>0</v>
      </c>
    </row>
    <row r="7" spans="1:17" x14ac:dyDescent="0.35">
      <c r="A7" s="456" t="s">
        <v>288</v>
      </c>
      <c r="B7" s="456"/>
      <c r="C7" s="460">
        <v>0</v>
      </c>
      <c r="D7" s="460">
        <v>0</v>
      </c>
      <c r="E7" s="460">
        <v>7</v>
      </c>
      <c r="F7" s="460">
        <v>8</v>
      </c>
      <c r="G7" s="460">
        <v>0</v>
      </c>
      <c r="H7" s="460">
        <v>0</v>
      </c>
      <c r="I7" s="460">
        <v>0</v>
      </c>
      <c r="J7" s="460">
        <v>0</v>
      </c>
      <c r="K7" s="460">
        <v>0</v>
      </c>
      <c r="L7" s="461">
        <v>0</v>
      </c>
      <c r="M7" s="460">
        <v>0</v>
      </c>
      <c r="N7" s="460">
        <v>0</v>
      </c>
      <c r="O7" s="460">
        <v>0</v>
      </c>
      <c r="P7" s="460">
        <v>0</v>
      </c>
      <c r="Q7" s="460">
        <v>0</v>
      </c>
    </row>
    <row r="8" spans="1:17" x14ac:dyDescent="0.35">
      <c r="A8" s="456" t="s">
        <v>289</v>
      </c>
      <c r="B8" s="456"/>
      <c r="C8" s="460">
        <v>0</v>
      </c>
      <c r="D8" s="460">
        <v>0</v>
      </c>
      <c r="E8" s="460">
        <v>0</v>
      </c>
      <c r="F8" s="460">
        <v>11</v>
      </c>
      <c r="G8" s="460">
        <v>0</v>
      </c>
      <c r="H8" s="460">
        <v>0</v>
      </c>
      <c r="I8" s="460">
        <v>0</v>
      </c>
      <c r="J8" s="460">
        <v>0</v>
      </c>
      <c r="K8" s="460">
        <v>0</v>
      </c>
      <c r="L8" s="461">
        <v>0</v>
      </c>
      <c r="M8" s="460">
        <v>0</v>
      </c>
      <c r="N8" s="460">
        <v>0</v>
      </c>
      <c r="O8" s="460">
        <v>0</v>
      </c>
      <c r="P8" s="460">
        <v>0</v>
      </c>
      <c r="Q8" s="460">
        <v>0</v>
      </c>
    </row>
    <row r="9" spans="1:17" x14ac:dyDescent="0.35">
      <c r="A9" s="456" t="s">
        <v>290</v>
      </c>
      <c r="B9" s="456"/>
      <c r="C9" s="462">
        <v>0</v>
      </c>
      <c r="D9" s="462">
        <v>0</v>
      </c>
      <c r="E9" s="462">
        <v>0</v>
      </c>
      <c r="F9" s="462">
        <v>0</v>
      </c>
      <c r="G9" s="462">
        <v>0</v>
      </c>
      <c r="H9" s="462">
        <v>0</v>
      </c>
      <c r="I9" s="462">
        <v>0</v>
      </c>
      <c r="J9" s="462">
        <v>0</v>
      </c>
      <c r="K9" s="462">
        <v>0</v>
      </c>
      <c r="L9" s="462">
        <v>0</v>
      </c>
      <c r="M9" s="462">
        <v>-6.9</v>
      </c>
      <c r="N9" s="462">
        <v>0</v>
      </c>
      <c r="O9" s="462">
        <v>0</v>
      </c>
      <c r="P9" s="462">
        <v>0</v>
      </c>
      <c r="Q9" s="462">
        <v>0</v>
      </c>
    </row>
    <row r="10" spans="1:17" x14ac:dyDescent="0.35">
      <c r="A10" s="456" t="s">
        <v>291</v>
      </c>
      <c r="B10" s="456"/>
      <c r="C10" s="462">
        <v>0</v>
      </c>
      <c r="D10" s="462">
        <v>145</v>
      </c>
      <c r="E10" s="462">
        <v>10</v>
      </c>
      <c r="F10" s="462">
        <v>0</v>
      </c>
      <c r="G10" s="462">
        <v>0</v>
      </c>
      <c r="H10" s="462">
        <v>0</v>
      </c>
      <c r="I10" s="462">
        <v>0</v>
      </c>
      <c r="J10" s="462">
        <v>66.8</v>
      </c>
      <c r="K10" s="462">
        <v>0</v>
      </c>
      <c r="L10" s="462">
        <v>5.5</v>
      </c>
      <c r="M10" s="462">
        <v>3.7</v>
      </c>
      <c r="N10" s="462">
        <v>4.5999999999999996</v>
      </c>
      <c r="O10" s="462">
        <v>0</v>
      </c>
      <c r="P10" s="462">
        <v>0</v>
      </c>
      <c r="Q10" s="462">
        <v>25.4</v>
      </c>
    </row>
    <row r="11" spans="1:17" x14ac:dyDescent="0.35">
      <c r="A11" s="456" t="s">
        <v>292</v>
      </c>
      <c r="B11" s="456"/>
      <c r="C11" s="462">
        <v>0</v>
      </c>
      <c r="D11" s="462">
        <v>0</v>
      </c>
      <c r="E11" s="462">
        <v>0</v>
      </c>
      <c r="F11" s="462">
        <v>0</v>
      </c>
      <c r="G11" s="462">
        <v>0</v>
      </c>
      <c r="H11" s="462">
        <v>0</v>
      </c>
      <c r="I11" s="462">
        <v>0</v>
      </c>
      <c r="J11" s="462">
        <v>0</v>
      </c>
      <c r="K11" s="462">
        <v>0</v>
      </c>
      <c r="L11" s="462">
        <v>12.1</v>
      </c>
      <c r="M11" s="462">
        <v>0</v>
      </c>
      <c r="N11" s="462">
        <v>15.3</v>
      </c>
      <c r="O11" s="462">
        <v>0</v>
      </c>
      <c r="P11" s="462">
        <v>0</v>
      </c>
      <c r="Q11" s="462">
        <v>0</v>
      </c>
    </row>
    <row r="12" spans="1:17" x14ac:dyDescent="0.35">
      <c r="A12" s="456" t="s">
        <v>293</v>
      </c>
      <c r="B12" s="456"/>
      <c r="C12" s="462">
        <v>0</v>
      </c>
      <c r="D12" s="462">
        <v>0</v>
      </c>
      <c r="E12" s="462">
        <v>0</v>
      </c>
      <c r="F12" s="462">
        <v>0</v>
      </c>
      <c r="G12" s="462">
        <v>0</v>
      </c>
      <c r="H12" s="462">
        <v>0</v>
      </c>
      <c r="I12" s="462">
        <v>0</v>
      </c>
      <c r="J12" s="462">
        <v>0</v>
      </c>
      <c r="K12" s="462">
        <v>53.5</v>
      </c>
      <c r="L12" s="462">
        <v>5.5</v>
      </c>
      <c r="M12" s="462">
        <v>0</v>
      </c>
      <c r="N12" s="462">
        <v>0</v>
      </c>
      <c r="O12" s="462">
        <v>0</v>
      </c>
      <c r="P12" s="462">
        <v>0</v>
      </c>
      <c r="Q12" s="462">
        <v>0</v>
      </c>
    </row>
    <row r="13" spans="1:17" x14ac:dyDescent="0.35">
      <c r="A13" s="456" t="s">
        <v>294</v>
      </c>
      <c r="B13" s="456"/>
      <c r="C13" s="462">
        <v>0</v>
      </c>
      <c r="D13" s="462">
        <v>0</v>
      </c>
      <c r="E13" s="462">
        <v>0</v>
      </c>
      <c r="F13" s="462">
        <v>0</v>
      </c>
      <c r="G13" s="462">
        <v>0</v>
      </c>
      <c r="H13" s="462">
        <v>0</v>
      </c>
      <c r="I13" s="462">
        <v>0</v>
      </c>
      <c r="J13" s="462">
        <v>-8.6999999999999993</v>
      </c>
      <c r="K13" s="462">
        <v>0</v>
      </c>
      <c r="L13" s="462">
        <v>0</v>
      </c>
      <c r="M13" s="462">
        <v>0</v>
      </c>
      <c r="N13" s="462">
        <v>0</v>
      </c>
      <c r="O13" s="462">
        <v>0</v>
      </c>
      <c r="P13" s="462">
        <v>0</v>
      </c>
      <c r="Q13" s="462">
        <v>0</v>
      </c>
    </row>
    <row r="14" spans="1:17" x14ac:dyDescent="0.35">
      <c r="A14" s="456" t="s">
        <v>295</v>
      </c>
      <c r="B14" s="456"/>
      <c r="C14" s="462">
        <v>0</v>
      </c>
      <c r="D14" s="462">
        <v>0</v>
      </c>
      <c r="E14" s="462">
        <v>0</v>
      </c>
      <c r="F14" s="462">
        <v>0</v>
      </c>
      <c r="G14" s="462">
        <v>0</v>
      </c>
      <c r="H14" s="462">
        <v>0</v>
      </c>
      <c r="I14" s="462">
        <v>0</v>
      </c>
      <c r="J14" s="462">
        <v>0</v>
      </c>
      <c r="K14" s="462">
        <v>0</v>
      </c>
      <c r="L14" s="462">
        <v>0</v>
      </c>
      <c r="M14" s="462">
        <v>0</v>
      </c>
      <c r="N14" s="462">
        <v>0</v>
      </c>
      <c r="O14" s="462">
        <v>15.9</v>
      </c>
      <c r="P14" s="462">
        <v>0</v>
      </c>
      <c r="Q14" s="462">
        <v>8.4</v>
      </c>
    </row>
    <row r="15" spans="1:17" x14ac:dyDescent="0.35">
      <c r="A15" s="456" t="s">
        <v>296</v>
      </c>
      <c r="B15" s="456"/>
      <c r="C15" s="462">
        <v>0</v>
      </c>
      <c r="D15" s="462">
        <v>0</v>
      </c>
      <c r="E15" s="462">
        <v>0</v>
      </c>
      <c r="F15" s="462">
        <v>0</v>
      </c>
      <c r="G15" s="462">
        <v>0</v>
      </c>
      <c r="H15" s="462">
        <v>0</v>
      </c>
      <c r="I15" s="462">
        <v>0</v>
      </c>
      <c r="J15" s="462">
        <v>0</v>
      </c>
      <c r="K15" s="462">
        <v>0</v>
      </c>
      <c r="L15" s="462">
        <v>0</v>
      </c>
      <c r="M15" s="462">
        <v>0</v>
      </c>
      <c r="N15" s="462">
        <v>0</v>
      </c>
      <c r="O15" s="462">
        <f>3.8+3.1</f>
        <v>6.9</v>
      </c>
      <c r="P15" s="462">
        <v>0.9</v>
      </c>
      <c r="Q15" s="462">
        <v>0</v>
      </c>
    </row>
    <row r="16" spans="1:17" x14ac:dyDescent="0.35">
      <c r="A16" s="456" t="s">
        <v>297</v>
      </c>
      <c r="B16" s="456"/>
      <c r="C16" s="462">
        <v>18</v>
      </c>
      <c r="D16" s="462">
        <v>24</v>
      </c>
      <c r="E16" s="462">
        <v>34</v>
      </c>
      <c r="F16" s="462">
        <v>0</v>
      </c>
      <c r="G16" s="462">
        <v>0</v>
      </c>
      <c r="H16" s="462">
        <v>14.9</v>
      </c>
      <c r="I16" s="462">
        <v>0</v>
      </c>
      <c r="J16" s="462">
        <v>0</v>
      </c>
      <c r="K16" s="462">
        <v>0</v>
      </c>
      <c r="L16" s="462">
        <v>0</v>
      </c>
      <c r="M16" s="462">
        <v>0</v>
      </c>
      <c r="N16" s="462">
        <v>0</v>
      </c>
      <c r="O16" s="462">
        <v>22.7</v>
      </c>
      <c r="P16" s="462">
        <v>10.3</v>
      </c>
      <c r="Q16" s="462">
        <v>7.9</v>
      </c>
    </row>
    <row r="17" spans="1:21" x14ac:dyDescent="0.35">
      <c r="A17" s="456" t="s">
        <v>298</v>
      </c>
      <c r="B17" s="456"/>
      <c r="C17" s="462">
        <v>0</v>
      </c>
      <c r="D17" s="462">
        <v>0</v>
      </c>
      <c r="E17" s="462">
        <v>0</v>
      </c>
      <c r="F17" s="462">
        <v>0</v>
      </c>
      <c r="G17" s="462">
        <v>0</v>
      </c>
      <c r="H17" s="462">
        <v>0</v>
      </c>
      <c r="I17" s="462">
        <v>0</v>
      </c>
      <c r="J17" s="462">
        <v>0</v>
      </c>
      <c r="K17" s="462">
        <v>0</v>
      </c>
      <c r="L17" s="462">
        <v>0</v>
      </c>
      <c r="M17" s="462">
        <v>0</v>
      </c>
      <c r="N17" s="462">
        <v>0</v>
      </c>
      <c r="O17" s="462">
        <v>0</v>
      </c>
      <c r="P17" s="462">
        <v>0</v>
      </c>
      <c r="Q17" s="462">
        <v>3.5</v>
      </c>
    </row>
    <row r="18" spans="1:21" x14ac:dyDescent="0.35">
      <c r="A18" s="430" t="s">
        <v>299</v>
      </c>
      <c r="B18" s="456"/>
      <c r="C18" s="463">
        <f t="shared" ref="C18:Q18" si="0">SUM(C5:C17)</f>
        <v>26</v>
      </c>
      <c r="D18" s="463">
        <f t="shared" si="0"/>
        <v>172</v>
      </c>
      <c r="E18" s="463">
        <f t="shared" si="0"/>
        <v>38</v>
      </c>
      <c r="F18" s="463">
        <f t="shared" si="0"/>
        <v>19</v>
      </c>
      <c r="G18" s="463">
        <f t="shared" si="0"/>
        <v>0</v>
      </c>
      <c r="H18" s="463">
        <f t="shared" si="0"/>
        <v>14.9</v>
      </c>
      <c r="I18" s="463">
        <f t="shared" si="0"/>
        <v>0</v>
      </c>
      <c r="J18" s="463">
        <f t="shared" si="0"/>
        <v>58.099999999999994</v>
      </c>
      <c r="K18" s="463">
        <f t="shared" si="0"/>
        <v>53.5</v>
      </c>
      <c r="L18" s="463">
        <f t="shared" si="0"/>
        <v>23.1</v>
      </c>
      <c r="M18" s="463">
        <f t="shared" si="0"/>
        <v>-31.3</v>
      </c>
      <c r="N18" s="463">
        <f t="shared" si="0"/>
        <v>-0.40000000000000036</v>
      </c>
      <c r="O18" s="463">
        <f t="shared" si="0"/>
        <v>45.5</v>
      </c>
      <c r="P18" s="463">
        <f t="shared" si="0"/>
        <v>11.200000000000001</v>
      </c>
      <c r="Q18" s="463">
        <f t="shared" si="0"/>
        <v>45.199999999999996</v>
      </c>
    </row>
    <row r="19" spans="1:21" x14ac:dyDescent="0.35">
      <c r="A19" s="456" t="s">
        <v>300</v>
      </c>
      <c r="B19" s="456"/>
      <c r="C19" s="464">
        <v>-8</v>
      </c>
      <c r="D19" s="464">
        <v>-28</v>
      </c>
      <c r="E19" s="464">
        <v>-14</v>
      </c>
      <c r="F19" s="464">
        <v>-6</v>
      </c>
      <c r="G19" s="464">
        <v>0</v>
      </c>
      <c r="H19" s="464">
        <v>-5</v>
      </c>
      <c r="I19" s="464">
        <v>0</v>
      </c>
      <c r="J19" s="462">
        <v>-21</v>
      </c>
      <c r="K19" s="462">
        <v>-21</v>
      </c>
      <c r="L19" s="462">
        <v>-8.5</v>
      </c>
      <c r="M19" s="462">
        <v>12.3</v>
      </c>
      <c r="N19" s="462">
        <v>-0.02</v>
      </c>
      <c r="O19" s="462">
        <v>-9.1</v>
      </c>
      <c r="P19" s="462">
        <v>-1.1000000000000001</v>
      </c>
      <c r="Q19" s="462">
        <v>-4.4000000000000004</v>
      </c>
    </row>
    <row r="20" spans="1:21" x14ac:dyDescent="0.35">
      <c r="A20" s="456" t="s">
        <v>301</v>
      </c>
      <c r="B20" s="456"/>
      <c r="C20" s="465">
        <v>-11</v>
      </c>
      <c r="D20" s="465">
        <v>13</v>
      </c>
      <c r="E20" s="465">
        <v>-1</v>
      </c>
      <c r="F20" s="465">
        <v>6</v>
      </c>
      <c r="G20" s="465">
        <v>0</v>
      </c>
      <c r="H20" s="465">
        <v>0</v>
      </c>
      <c r="I20" s="464">
        <v>-27</v>
      </c>
      <c r="J20" s="462">
        <v>0</v>
      </c>
      <c r="K20" s="462">
        <v>0</v>
      </c>
      <c r="L20" s="462">
        <v>0</v>
      </c>
      <c r="M20" s="462">
        <v>0</v>
      </c>
      <c r="N20" s="462">
        <f>-5.7-1.9+50.4</f>
        <v>42.8</v>
      </c>
      <c r="O20" s="462">
        <v>-1.8</v>
      </c>
      <c r="P20" s="462">
        <v>0</v>
      </c>
      <c r="Q20" s="462">
        <v>0</v>
      </c>
    </row>
    <row r="21" spans="1:21" ht="15" thickBot="1" x14ac:dyDescent="0.4">
      <c r="A21" s="430" t="s">
        <v>302</v>
      </c>
      <c r="B21" s="456"/>
      <c r="C21" s="466">
        <f t="shared" ref="C21:P21" si="1">SUM(C18:C20)</f>
        <v>7</v>
      </c>
      <c r="D21" s="466">
        <f t="shared" si="1"/>
        <v>157</v>
      </c>
      <c r="E21" s="466">
        <f t="shared" si="1"/>
        <v>23</v>
      </c>
      <c r="F21" s="466">
        <f t="shared" si="1"/>
        <v>19</v>
      </c>
      <c r="G21" s="466">
        <f t="shared" si="1"/>
        <v>0</v>
      </c>
      <c r="H21" s="466">
        <f t="shared" si="1"/>
        <v>9.9</v>
      </c>
      <c r="I21" s="466">
        <f t="shared" si="1"/>
        <v>-27</v>
      </c>
      <c r="J21" s="466">
        <f t="shared" si="1"/>
        <v>37.099999999999994</v>
      </c>
      <c r="K21" s="466">
        <f t="shared" si="1"/>
        <v>32.5</v>
      </c>
      <c r="L21" s="466">
        <f t="shared" si="1"/>
        <v>14.600000000000001</v>
      </c>
      <c r="M21" s="466">
        <f t="shared" si="1"/>
        <v>-19</v>
      </c>
      <c r="N21" s="466">
        <f t="shared" si="1"/>
        <v>42.379999999999995</v>
      </c>
      <c r="O21" s="466">
        <f t="shared" si="1"/>
        <v>34.6</v>
      </c>
      <c r="P21" s="466">
        <f t="shared" si="1"/>
        <v>10.100000000000001</v>
      </c>
      <c r="Q21" s="466">
        <f>SUM(Q18:Q20)</f>
        <v>40.799999999999997</v>
      </c>
    </row>
    <row r="22" spans="1:21" ht="15" thickTop="1" x14ac:dyDescent="0.35">
      <c r="A22" s="430"/>
      <c r="B22" s="456"/>
      <c r="C22" s="457"/>
      <c r="D22" s="457"/>
      <c r="E22" s="457"/>
      <c r="F22" s="457"/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57"/>
    </row>
    <row r="23" spans="1:21" x14ac:dyDescent="0.35">
      <c r="A23" s="456" t="s">
        <v>303</v>
      </c>
      <c r="B23" s="456"/>
      <c r="C23" s="467">
        <v>186.8</v>
      </c>
      <c r="D23" s="467">
        <v>179.8</v>
      </c>
      <c r="E23" s="467">
        <v>168.2</v>
      </c>
      <c r="F23" s="467">
        <v>160</v>
      </c>
      <c r="G23" s="467">
        <v>153.30000000000001</v>
      </c>
      <c r="H23" s="467">
        <v>147</v>
      </c>
      <c r="I23" s="467">
        <v>146</v>
      </c>
      <c r="J23" s="467">
        <v>147.19999999999999</v>
      </c>
      <c r="K23" s="467">
        <v>143.19999999999999</v>
      </c>
      <c r="L23" s="467">
        <v>142.9</v>
      </c>
      <c r="M23" s="467">
        <v>140</v>
      </c>
      <c r="N23" s="467">
        <v>137.30000000000001</v>
      </c>
      <c r="O23" s="467">
        <v>135.19999999999999</v>
      </c>
      <c r="P23" s="467">
        <v>135.4</v>
      </c>
      <c r="Q23" s="467">
        <v>135.9</v>
      </c>
    </row>
    <row r="24" spans="1:21" x14ac:dyDescent="0.35">
      <c r="A24" s="430" t="s">
        <v>304</v>
      </c>
      <c r="B24" s="456"/>
      <c r="C24" s="468">
        <f t="shared" ref="C24:I24" si="2">+C21/C23</f>
        <v>3.7473233404710919E-2</v>
      </c>
      <c r="D24" s="468">
        <f t="shared" si="2"/>
        <v>0.87319243604004448</v>
      </c>
      <c r="E24" s="468">
        <f t="shared" si="2"/>
        <v>0.13674197384066589</v>
      </c>
      <c r="F24" s="468">
        <f t="shared" si="2"/>
        <v>0.11874999999999999</v>
      </c>
      <c r="G24" s="468">
        <f t="shared" si="2"/>
        <v>0</v>
      </c>
      <c r="H24" s="468">
        <f t="shared" si="2"/>
        <v>6.7346938775510207E-2</v>
      </c>
      <c r="I24" s="468">
        <f t="shared" si="2"/>
        <v>-0.18493150684931506</v>
      </c>
      <c r="J24" s="468">
        <v>0.25</v>
      </c>
      <c r="K24" s="468">
        <f t="shared" ref="K24:Q24" si="3">+K21/K23</f>
        <v>0.22695530726256985</v>
      </c>
      <c r="L24" s="468">
        <v>0.09</v>
      </c>
      <c r="M24" s="468">
        <f t="shared" si="3"/>
        <v>-0.1357142857142857</v>
      </c>
      <c r="N24" s="468">
        <v>0.32</v>
      </c>
      <c r="O24" s="468">
        <f t="shared" si="3"/>
        <v>0.25591715976331364</v>
      </c>
      <c r="P24" s="468">
        <f t="shared" si="3"/>
        <v>7.459379615952734E-2</v>
      </c>
      <c r="Q24" s="468">
        <f t="shared" si="3"/>
        <v>0.30022075055187636</v>
      </c>
    </row>
    <row r="25" spans="1:21" x14ac:dyDescent="0.35">
      <c r="A25" s="434"/>
      <c r="B25" s="431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1"/>
      <c r="O25" s="431"/>
      <c r="P25" s="431"/>
    </row>
    <row r="26" spans="1:21" x14ac:dyDescent="0.35">
      <c r="A26" s="431"/>
      <c r="B26" s="431"/>
      <c r="C26" s="431"/>
      <c r="D26" s="431"/>
      <c r="E26" s="431"/>
      <c r="F26" s="431"/>
      <c r="G26" s="431"/>
      <c r="H26" s="431"/>
      <c r="I26" s="431"/>
      <c r="J26" s="431"/>
      <c r="K26" s="431"/>
      <c r="L26" s="431"/>
      <c r="M26" s="431"/>
      <c r="N26" s="431"/>
      <c r="O26" s="431"/>
      <c r="P26" s="431"/>
    </row>
    <row r="27" spans="1:21" ht="13.5" customHeight="1" x14ac:dyDescent="0.35">
      <c r="A27" s="469" t="s">
        <v>334</v>
      </c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7"/>
      <c r="O27" s="437"/>
      <c r="P27" s="437"/>
      <c r="Q27" s="437"/>
      <c r="R27" s="437"/>
      <c r="S27" s="437"/>
      <c r="T27" s="437"/>
      <c r="U27" s="437"/>
    </row>
    <row r="28" spans="1:21" ht="13.5" customHeight="1" x14ac:dyDescent="0.35">
      <c r="A28" s="469" t="s">
        <v>335</v>
      </c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  <c r="N28" s="437"/>
      <c r="O28" s="437"/>
      <c r="P28" s="437"/>
      <c r="Q28" s="437"/>
      <c r="R28" s="437"/>
      <c r="S28" s="437"/>
      <c r="T28" s="437"/>
      <c r="U28" s="437"/>
    </row>
    <row r="29" spans="1:21" ht="13.5" customHeight="1" x14ac:dyDescent="0.35">
      <c r="A29" s="470" t="s">
        <v>336</v>
      </c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7"/>
      <c r="S29" s="437"/>
      <c r="T29" s="437"/>
      <c r="U29" s="437"/>
    </row>
    <row r="30" spans="1:21" ht="13.5" customHeight="1" x14ac:dyDescent="0.35">
      <c r="A30" s="470" t="s">
        <v>337</v>
      </c>
      <c r="B30" s="438"/>
      <c r="C30" s="438"/>
      <c r="D30" s="438"/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438"/>
      <c r="T30" s="438"/>
      <c r="U30" s="438"/>
    </row>
    <row r="31" spans="1:21" ht="13.5" customHeight="1" x14ac:dyDescent="0.35">
      <c r="A31" s="470" t="s">
        <v>338</v>
      </c>
      <c r="B31" s="438"/>
      <c r="C31" s="438"/>
      <c r="D31" s="438"/>
      <c r="E31" s="438"/>
      <c r="F31" s="438"/>
      <c r="G31" s="438"/>
      <c r="H31" s="438"/>
      <c r="I31" s="438"/>
      <c r="J31" s="438"/>
      <c r="K31" s="438"/>
      <c r="L31" s="438"/>
      <c r="M31" s="438"/>
      <c r="N31" s="438"/>
      <c r="O31" s="438"/>
      <c r="P31" s="438"/>
      <c r="Q31" s="438"/>
      <c r="R31" s="438"/>
      <c r="S31" s="438"/>
      <c r="T31" s="438"/>
      <c r="U31" s="438"/>
    </row>
    <row r="32" spans="1:21" ht="13.5" customHeight="1" x14ac:dyDescent="0.35">
      <c r="A32" s="471" t="s">
        <v>339</v>
      </c>
    </row>
    <row r="33" spans="1:14" ht="13.5" customHeight="1" x14ac:dyDescent="0.35">
      <c r="A33" s="471" t="s">
        <v>340</v>
      </c>
    </row>
    <row r="34" spans="1:14" ht="13.5" customHeight="1" x14ac:dyDescent="0.35">
      <c r="A34" s="471" t="s">
        <v>341</v>
      </c>
    </row>
    <row r="35" spans="1:14" ht="13.5" customHeight="1" x14ac:dyDescent="0.35">
      <c r="A35" s="471" t="s">
        <v>305</v>
      </c>
    </row>
    <row r="36" spans="1:14" ht="13.5" customHeight="1" x14ac:dyDescent="0.35">
      <c r="A36" s="471" t="s">
        <v>342</v>
      </c>
    </row>
    <row r="37" spans="1:14" ht="13.5" customHeight="1" x14ac:dyDescent="0.35">
      <c r="A37" s="471" t="s">
        <v>306</v>
      </c>
    </row>
    <row r="38" spans="1:14" ht="13.5" customHeight="1" x14ac:dyDescent="0.35">
      <c r="A38" s="471" t="s">
        <v>343</v>
      </c>
      <c r="B38" s="431"/>
      <c r="C38" s="435"/>
      <c r="D38" s="435"/>
      <c r="E38" s="435"/>
      <c r="F38" s="435"/>
      <c r="G38" s="431"/>
      <c r="H38" s="431"/>
      <c r="I38" s="431"/>
      <c r="J38" s="431"/>
      <c r="K38" s="431"/>
      <c r="L38" s="431"/>
      <c r="M38" s="431"/>
    </row>
    <row r="39" spans="1:14" ht="13.5" customHeight="1" x14ac:dyDescent="0.35">
      <c r="A39" s="471" t="s">
        <v>307</v>
      </c>
      <c r="B39" s="431"/>
      <c r="C39" s="435"/>
      <c r="D39" s="435"/>
      <c r="E39" s="435"/>
      <c r="F39" s="435"/>
      <c r="G39" s="431"/>
      <c r="H39" s="431"/>
      <c r="I39" s="431"/>
      <c r="J39" s="431"/>
      <c r="K39" s="431"/>
      <c r="L39" s="431"/>
      <c r="M39" s="431"/>
    </row>
    <row r="40" spans="1:14" ht="13.5" customHeight="1" x14ac:dyDescent="0.35">
      <c r="A40" s="471" t="s">
        <v>344</v>
      </c>
      <c r="B40" s="431"/>
      <c r="C40" s="433"/>
      <c r="D40" s="433"/>
      <c r="E40" s="433"/>
      <c r="F40" s="433"/>
      <c r="G40" s="431"/>
      <c r="H40" s="431"/>
      <c r="I40" s="431"/>
      <c r="J40" s="431"/>
      <c r="K40" s="431"/>
      <c r="L40" s="431"/>
      <c r="M40" s="431"/>
    </row>
    <row r="41" spans="1:14" ht="13.5" customHeight="1" x14ac:dyDescent="0.35">
      <c r="A41" s="471" t="s">
        <v>308</v>
      </c>
      <c r="B41" s="431"/>
      <c r="C41" s="433"/>
      <c r="D41" s="433"/>
      <c r="E41" s="433"/>
      <c r="F41" s="433"/>
      <c r="G41" s="431"/>
      <c r="H41" s="431"/>
      <c r="I41" s="431"/>
      <c r="J41" s="431"/>
      <c r="K41" s="431"/>
      <c r="L41" s="431"/>
      <c r="M41" s="431"/>
    </row>
    <row r="42" spans="1:14" ht="13.5" customHeight="1" x14ac:dyDescent="0.35">
      <c r="A42" s="471" t="s">
        <v>345</v>
      </c>
      <c r="B42" s="431"/>
      <c r="C42" s="433"/>
      <c r="D42" s="433"/>
      <c r="E42" s="433"/>
      <c r="F42" s="433"/>
      <c r="G42" s="431"/>
      <c r="H42" s="431"/>
      <c r="I42" s="431"/>
      <c r="J42" s="431"/>
      <c r="K42" s="431"/>
      <c r="L42" s="431"/>
      <c r="M42" s="431"/>
    </row>
    <row r="43" spans="1:14" ht="13.5" customHeight="1" x14ac:dyDescent="0.35">
      <c r="A43" s="471" t="s">
        <v>309</v>
      </c>
      <c r="B43" s="431"/>
      <c r="C43" s="439"/>
      <c r="D43" s="439"/>
      <c r="E43" s="439"/>
      <c r="F43" s="439"/>
      <c r="G43" s="431"/>
      <c r="H43" s="431"/>
      <c r="I43" s="431"/>
      <c r="J43" s="431"/>
      <c r="K43" s="431"/>
      <c r="L43" s="431"/>
      <c r="M43" s="431"/>
    </row>
    <row r="44" spans="1:14" ht="13.5" customHeight="1" x14ac:dyDescent="0.35">
      <c r="A44" s="471" t="s">
        <v>346</v>
      </c>
      <c r="B44" s="431"/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431"/>
    </row>
    <row r="45" spans="1:14" ht="13.5" customHeight="1" x14ac:dyDescent="0.35">
      <c r="A45" s="471" t="s">
        <v>310</v>
      </c>
      <c r="B45" s="431"/>
      <c r="C45" s="431"/>
      <c r="D45" s="431"/>
      <c r="E45" s="431"/>
      <c r="F45" s="431"/>
      <c r="G45" s="431"/>
      <c r="H45" s="431"/>
      <c r="I45" s="431"/>
      <c r="J45" s="431"/>
      <c r="K45" s="431"/>
      <c r="L45" s="431"/>
      <c r="M45" s="431"/>
    </row>
    <row r="46" spans="1:14" ht="13.5" customHeight="1" x14ac:dyDescent="0.35">
      <c r="A46" s="471" t="s">
        <v>311</v>
      </c>
      <c r="B46" s="431"/>
      <c r="C46" s="431"/>
      <c r="D46" s="431"/>
      <c r="E46" s="431"/>
      <c r="F46" s="431"/>
      <c r="G46" s="431"/>
      <c r="H46" s="431"/>
      <c r="I46" s="431"/>
      <c r="J46" s="431"/>
      <c r="K46" s="431"/>
      <c r="L46" s="431"/>
      <c r="M46" s="431"/>
    </row>
    <row r="47" spans="1:14" ht="4.5" customHeight="1" x14ac:dyDescent="0.35">
      <c r="A47" s="471"/>
      <c r="B47" s="431"/>
      <c r="C47" s="431"/>
      <c r="D47" s="431"/>
      <c r="E47" s="431"/>
      <c r="F47" s="431"/>
      <c r="G47" s="431"/>
      <c r="H47" s="431"/>
      <c r="I47" s="431"/>
      <c r="J47" s="431"/>
      <c r="K47" s="431"/>
      <c r="L47" s="431"/>
      <c r="M47" s="431"/>
    </row>
    <row r="48" spans="1:14" ht="13.5" customHeight="1" x14ac:dyDescent="0.35">
      <c r="A48" s="472" t="s">
        <v>312</v>
      </c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1"/>
    </row>
    <row r="49" spans="1:13" x14ac:dyDescent="0.35">
      <c r="A49" s="431"/>
      <c r="B49" s="431"/>
      <c r="C49" s="431"/>
      <c r="D49" s="431"/>
      <c r="E49" s="431"/>
      <c r="F49" s="431"/>
      <c r="G49" s="431"/>
      <c r="H49" s="431"/>
      <c r="I49" s="431"/>
      <c r="J49" s="431"/>
      <c r="K49" s="431"/>
      <c r="L49" s="431"/>
      <c r="M49" s="431"/>
    </row>
    <row r="50" spans="1:13" x14ac:dyDescent="0.35">
      <c r="A50" s="431"/>
      <c r="B50" s="431"/>
      <c r="C50" s="431"/>
      <c r="D50" s="431"/>
      <c r="E50" s="431"/>
      <c r="F50" s="431"/>
      <c r="G50" s="431"/>
      <c r="H50" s="431"/>
      <c r="I50" s="431"/>
      <c r="J50" s="431"/>
      <c r="K50" s="431"/>
      <c r="L50" s="431"/>
      <c r="M50" s="431"/>
    </row>
    <row r="51" spans="1:13" x14ac:dyDescent="0.35">
      <c r="A51" s="431"/>
      <c r="B51" s="431"/>
      <c r="C51" s="431"/>
      <c r="D51" s="431"/>
      <c r="E51" s="431"/>
      <c r="F51" s="431"/>
      <c r="G51" s="431"/>
      <c r="H51" s="431"/>
      <c r="I51" s="431"/>
      <c r="J51" s="431"/>
      <c r="K51" s="431"/>
      <c r="L51" s="431"/>
      <c r="M51" s="431"/>
    </row>
    <row r="52" spans="1:13" x14ac:dyDescent="0.35">
      <c r="A52" s="431"/>
      <c r="B52" s="431"/>
      <c r="C52" s="431"/>
      <c r="D52" s="431"/>
      <c r="E52" s="431"/>
      <c r="F52" s="431"/>
      <c r="G52" s="431"/>
      <c r="H52" s="431"/>
      <c r="I52" s="431"/>
      <c r="J52" s="431"/>
      <c r="K52" s="431"/>
      <c r="L52" s="431"/>
      <c r="M52" s="431"/>
    </row>
    <row r="53" spans="1:13" x14ac:dyDescent="0.35">
      <c r="A53" s="431"/>
      <c r="B53" s="431"/>
      <c r="C53" s="431"/>
      <c r="D53" s="431"/>
      <c r="E53" s="431"/>
      <c r="F53" s="431"/>
      <c r="G53" s="431"/>
      <c r="H53" s="431"/>
      <c r="I53" s="431"/>
      <c r="J53" s="431"/>
      <c r="K53" s="431"/>
      <c r="L53" s="431"/>
      <c r="M53" s="431"/>
    </row>
    <row r="54" spans="1:13" x14ac:dyDescent="0.35">
      <c r="A54" s="431"/>
      <c r="B54" s="431"/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M54" s="431"/>
    </row>
    <row r="55" spans="1:13" x14ac:dyDescent="0.35">
      <c r="A55" s="431"/>
      <c r="B55" s="431"/>
      <c r="C55" s="431"/>
      <c r="D55" s="431"/>
      <c r="E55" s="431"/>
      <c r="F55" s="431"/>
      <c r="G55" s="431"/>
      <c r="H55" s="431"/>
      <c r="I55" s="431"/>
      <c r="J55" s="431"/>
      <c r="K55" s="431"/>
      <c r="L55" s="431"/>
      <c r="M55" s="431"/>
    </row>
    <row r="56" spans="1:13" x14ac:dyDescent="0.35">
      <c r="A56" s="431"/>
      <c r="B56" s="431"/>
      <c r="C56" s="431"/>
      <c r="D56" s="431"/>
      <c r="E56" s="431"/>
      <c r="F56" s="431"/>
      <c r="G56" s="431"/>
      <c r="H56" s="431"/>
      <c r="I56" s="431"/>
      <c r="J56" s="431"/>
      <c r="K56" s="431"/>
      <c r="L56" s="431"/>
      <c r="M56" s="431"/>
    </row>
    <row r="57" spans="1:13" x14ac:dyDescent="0.35">
      <c r="A57" s="431"/>
      <c r="B57" s="431"/>
      <c r="C57" s="431"/>
      <c r="D57" s="431"/>
      <c r="E57" s="431"/>
      <c r="F57" s="431"/>
      <c r="G57" s="431"/>
      <c r="H57" s="431"/>
      <c r="I57" s="431"/>
      <c r="J57" s="431"/>
      <c r="K57" s="431"/>
      <c r="L57" s="431"/>
      <c r="M57" s="431"/>
    </row>
    <row r="58" spans="1:13" x14ac:dyDescent="0.35">
      <c r="A58" s="431"/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</row>
    <row r="59" spans="1:13" x14ac:dyDescent="0.35">
      <c r="A59" s="431"/>
      <c r="B59" s="431"/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431"/>
    </row>
    <row r="60" spans="1:13" x14ac:dyDescent="0.35">
      <c r="A60" s="431"/>
      <c r="B60" s="431"/>
      <c r="C60" s="431"/>
      <c r="D60" s="431"/>
      <c r="E60" s="431"/>
      <c r="F60" s="431"/>
      <c r="G60" s="431"/>
      <c r="H60" s="431"/>
      <c r="I60" s="431"/>
      <c r="J60" s="431"/>
      <c r="K60" s="431"/>
      <c r="L60" s="431"/>
      <c r="M60" s="431"/>
    </row>
    <row r="61" spans="1:13" x14ac:dyDescent="0.35">
      <c r="A61" s="431"/>
      <c r="B61" s="431"/>
      <c r="C61" s="431"/>
      <c r="D61" s="431"/>
      <c r="E61" s="431"/>
      <c r="F61" s="431"/>
      <c r="G61" s="431"/>
      <c r="H61" s="431"/>
      <c r="I61" s="431"/>
      <c r="J61" s="431"/>
      <c r="K61" s="431"/>
      <c r="L61" s="431"/>
      <c r="M61" s="431"/>
    </row>
    <row r="62" spans="1:13" x14ac:dyDescent="0.35">
      <c r="A62" s="431"/>
      <c r="B62" s="431"/>
      <c r="C62" s="431"/>
      <c r="D62" s="431"/>
      <c r="E62" s="431"/>
      <c r="F62" s="431"/>
      <c r="G62" s="431"/>
      <c r="H62" s="431"/>
      <c r="I62" s="431"/>
      <c r="J62" s="431"/>
      <c r="K62" s="431"/>
      <c r="L62" s="431"/>
      <c r="M62" s="431"/>
    </row>
    <row r="63" spans="1:13" x14ac:dyDescent="0.35">
      <c r="A63" s="431"/>
      <c r="B63" s="431"/>
      <c r="C63" s="431"/>
      <c r="D63" s="431"/>
      <c r="E63" s="431"/>
      <c r="F63" s="431"/>
      <c r="G63" s="431"/>
      <c r="H63" s="431"/>
      <c r="I63" s="431"/>
      <c r="J63" s="431"/>
      <c r="K63" s="431"/>
      <c r="L63" s="431"/>
      <c r="M63" s="431"/>
    </row>
    <row r="64" spans="1:13" x14ac:dyDescent="0.35">
      <c r="A64" s="431"/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</row>
    <row r="65" spans="1:13" x14ac:dyDescent="0.35">
      <c r="A65" s="431"/>
      <c r="B65" s="431"/>
      <c r="C65" s="431"/>
      <c r="D65" s="431"/>
      <c r="E65" s="431"/>
      <c r="F65" s="431"/>
      <c r="G65" s="431"/>
      <c r="H65" s="431"/>
      <c r="I65" s="431"/>
      <c r="J65" s="431"/>
      <c r="K65" s="431"/>
      <c r="L65" s="431"/>
      <c r="M65" s="431"/>
    </row>
    <row r="66" spans="1:13" x14ac:dyDescent="0.35">
      <c r="A66" s="431"/>
      <c r="B66" s="431"/>
      <c r="C66" s="431"/>
      <c r="D66" s="431"/>
      <c r="E66" s="431"/>
      <c r="F66" s="431"/>
      <c r="G66" s="431"/>
      <c r="H66" s="431"/>
      <c r="I66" s="431"/>
      <c r="J66" s="431"/>
      <c r="K66" s="431"/>
      <c r="L66" s="431"/>
      <c r="M66" s="431"/>
    </row>
    <row r="67" spans="1:13" x14ac:dyDescent="0.35">
      <c r="A67" s="431"/>
      <c r="B67" s="431"/>
      <c r="C67" s="431"/>
      <c r="D67" s="431"/>
      <c r="E67" s="431"/>
      <c r="F67" s="431"/>
      <c r="G67" s="431"/>
      <c r="H67" s="431"/>
      <c r="I67" s="431"/>
      <c r="J67" s="431"/>
      <c r="K67" s="431"/>
      <c r="L67" s="431"/>
      <c r="M67" s="431"/>
    </row>
    <row r="68" spans="1:13" x14ac:dyDescent="0.35">
      <c r="A68" s="431"/>
      <c r="B68" s="431"/>
      <c r="C68" s="431"/>
      <c r="D68" s="431"/>
      <c r="E68" s="431"/>
      <c r="F68" s="431"/>
      <c r="G68" s="431"/>
      <c r="H68" s="431"/>
      <c r="I68" s="431"/>
      <c r="J68" s="431"/>
      <c r="K68" s="431"/>
      <c r="L68" s="431"/>
      <c r="M68" s="431"/>
    </row>
    <row r="69" spans="1:13" x14ac:dyDescent="0.35">
      <c r="A69" s="431"/>
      <c r="B69" s="431"/>
      <c r="C69" s="431"/>
      <c r="D69" s="431"/>
      <c r="E69" s="431"/>
      <c r="F69" s="431"/>
      <c r="G69" s="431"/>
      <c r="H69" s="431"/>
      <c r="I69" s="431"/>
      <c r="J69" s="431"/>
      <c r="K69" s="431"/>
      <c r="L69" s="431"/>
      <c r="M69" s="431"/>
    </row>
    <row r="70" spans="1:13" x14ac:dyDescent="0.35">
      <c r="A70" s="431"/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1"/>
    </row>
    <row r="71" spans="1:13" x14ac:dyDescent="0.35">
      <c r="A71" s="431"/>
      <c r="B71" s="431"/>
      <c r="C71" s="431"/>
      <c r="D71" s="431"/>
      <c r="E71" s="431"/>
      <c r="F71" s="431"/>
      <c r="G71" s="431"/>
      <c r="H71" s="431"/>
      <c r="I71" s="431"/>
      <c r="J71" s="431"/>
      <c r="K71" s="431"/>
      <c r="L71" s="431"/>
      <c r="M71" s="431"/>
    </row>
    <row r="72" spans="1:13" x14ac:dyDescent="0.35">
      <c r="A72" s="431"/>
      <c r="B72" s="431"/>
      <c r="C72" s="431"/>
      <c r="D72" s="431"/>
      <c r="E72" s="431"/>
      <c r="F72" s="431"/>
      <c r="G72" s="431"/>
      <c r="H72" s="431"/>
      <c r="I72" s="431"/>
      <c r="J72" s="431"/>
      <c r="K72" s="431"/>
      <c r="L72" s="431"/>
      <c r="M72" s="431"/>
    </row>
    <row r="73" spans="1:13" x14ac:dyDescent="0.35">
      <c r="A73" s="431"/>
      <c r="B73" s="431"/>
      <c r="C73" s="431"/>
      <c r="D73" s="431"/>
      <c r="E73" s="431"/>
      <c r="F73" s="431"/>
      <c r="G73" s="431"/>
      <c r="H73" s="431"/>
      <c r="I73" s="431"/>
      <c r="J73" s="431"/>
      <c r="K73" s="431"/>
      <c r="L73" s="431"/>
      <c r="M73" s="431"/>
    </row>
    <row r="74" spans="1:13" x14ac:dyDescent="0.35">
      <c r="A74" s="431"/>
      <c r="B74" s="431"/>
      <c r="C74" s="431"/>
      <c r="D74" s="431"/>
      <c r="E74" s="431"/>
      <c r="F74" s="431"/>
      <c r="G74" s="431"/>
      <c r="H74" s="431"/>
      <c r="I74" s="431"/>
      <c r="J74" s="431"/>
      <c r="K74" s="431"/>
      <c r="L74" s="431"/>
      <c r="M74" s="431"/>
    </row>
    <row r="75" spans="1:13" x14ac:dyDescent="0.35">
      <c r="A75" s="431"/>
      <c r="B75" s="431"/>
      <c r="C75" s="431"/>
      <c r="D75" s="431"/>
      <c r="E75" s="431"/>
      <c r="F75" s="431"/>
      <c r="G75" s="431"/>
      <c r="H75" s="431"/>
      <c r="I75" s="431"/>
      <c r="J75" s="431"/>
      <c r="K75" s="431"/>
      <c r="L75" s="431"/>
      <c r="M75" s="431"/>
    </row>
    <row r="76" spans="1:13" x14ac:dyDescent="0.35">
      <c r="A76" s="431"/>
      <c r="B76" s="431"/>
      <c r="C76" s="431"/>
      <c r="D76" s="431"/>
      <c r="E76" s="431"/>
      <c r="F76" s="431"/>
      <c r="G76" s="431"/>
      <c r="H76" s="431"/>
      <c r="I76" s="431"/>
      <c r="J76" s="431"/>
      <c r="K76" s="431"/>
      <c r="L76" s="431"/>
      <c r="M76" s="431"/>
    </row>
    <row r="77" spans="1:13" x14ac:dyDescent="0.35">
      <c r="A77" s="431"/>
      <c r="B77" s="431"/>
      <c r="C77" s="431"/>
      <c r="D77" s="431"/>
      <c r="E77" s="431"/>
      <c r="F77" s="431"/>
      <c r="G77" s="431"/>
      <c r="H77" s="431"/>
      <c r="I77" s="431"/>
      <c r="J77" s="431"/>
      <c r="K77" s="431"/>
      <c r="L77" s="431"/>
      <c r="M77" s="431"/>
    </row>
    <row r="78" spans="1:13" x14ac:dyDescent="0.35">
      <c r="A78" s="431"/>
      <c r="B78" s="431"/>
      <c r="C78" s="431"/>
      <c r="D78" s="431"/>
      <c r="E78" s="431"/>
      <c r="F78" s="431"/>
      <c r="G78" s="431"/>
      <c r="H78" s="431"/>
      <c r="I78" s="431"/>
      <c r="J78" s="431"/>
      <c r="K78" s="431"/>
      <c r="L78" s="431"/>
      <c r="M78" s="431"/>
    </row>
    <row r="79" spans="1:13" x14ac:dyDescent="0.35">
      <c r="A79" s="431"/>
      <c r="B79" s="431"/>
      <c r="C79" s="431"/>
      <c r="D79" s="431"/>
      <c r="E79" s="431"/>
      <c r="F79" s="431"/>
      <c r="G79" s="431"/>
      <c r="H79" s="431"/>
      <c r="I79" s="431"/>
      <c r="J79" s="431"/>
      <c r="K79" s="431"/>
      <c r="L79" s="431"/>
      <c r="M79" s="431"/>
    </row>
    <row r="80" spans="1:13" x14ac:dyDescent="0.35">
      <c r="A80" s="431"/>
      <c r="B80" s="431"/>
      <c r="C80" s="431"/>
      <c r="D80" s="431"/>
      <c r="E80" s="431"/>
      <c r="F80" s="431"/>
      <c r="G80" s="431"/>
      <c r="H80" s="431"/>
      <c r="I80" s="431"/>
      <c r="J80" s="431"/>
      <c r="K80" s="431"/>
      <c r="L80" s="431"/>
      <c r="M80" s="431"/>
    </row>
    <row r="81" spans="1:13" x14ac:dyDescent="0.35">
      <c r="A81" s="431"/>
      <c r="B81" s="431"/>
      <c r="C81" s="431"/>
      <c r="D81" s="431"/>
      <c r="E81" s="431"/>
      <c r="F81" s="431"/>
      <c r="G81" s="431"/>
      <c r="H81" s="431"/>
      <c r="I81" s="431"/>
      <c r="J81" s="431"/>
      <c r="K81" s="431"/>
      <c r="L81" s="431"/>
      <c r="M81" s="431"/>
    </row>
    <row r="82" spans="1:13" x14ac:dyDescent="0.35">
      <c r="A82" s="431"/>
      <c r="B82" s="431"/>
      <c r="C82" s="431"/>
      <c r="D82" s="431"/>
      <c r="E82" s="431"/>
      <c r="F82" s="431"/>
      <c r="G82" s="431"/>
      <c r="H82" s="431"/>
      <c r="I82" s="431"/>
      <c r="J82" s="431"/>
      <c r="K82" s="431"/>
      <c r="L82" s="431"/>
      <c r="M82" s="431"/>
    </row>
    <row r="83" spans="1:13" x14ac:dyDescent="0.35">
      <c r="A83" s="431"/>
      <c r="B83" s="431"/>
      <c r="C83" s="431"/>
      <c r="D83" s="431"/>
      <c r="E83" s="431"/>
      <c r="F83" s="431"/>
      <c r="G83" s="431"/>
      <c r="H83" s="431"/>
      <c r="I83" s="431"/>
      <c r="J83" s="431"/>
      <c r="K83" s="431"/>
      <c r="L83" s="431"/>
      <c r="M83" s="431"/>
    </row>
    <row r="84" spans="1:13" x14ac:dyDescent="0.35">
      <c r="A84" s="431"/>
      <c r="B84" s="431"/>
      <c r="C84" s="431"/>
      <c r="D84" s="431"/>
      <c r="E84" s="431"/>
      <c r="F84" s="431"/>
      <c r="G84" s="431"/>
      <c r="H84" s="431"/>
      <c r="I84" s="431"/>
      <c r="J84" s="431"/>
      <c r="K84" s="431"/>
      <c r="L84" s="431"/>
      <c r="M84" s="431"/>
    </row>
    <row r="85" spans="1:13" x14ac:dyDescent="0.35">
      <c r="A85" s="431"/>
      <c r="B85" s="431"/>
      <c r="C85" s="431"/>
      <c r="D85" s="431"/>
      <c r="E85" s="431"/>
      <c r="F85" s="431"/>
      <c r="G85" s="431"/>
      <c r="H85" s="431"/>
      <c r="I85" s="431"/>
      <c r="J85" s="431"/>
      <c r="K85" s="431"/>
      <c r="L85" s="431"/>
      <c r="M85" s="431"/>
    </row>
    <row r="86" spans="1:13" x14ac:dyDescent="0.35">
      <c r="A86" s="431"/>
      <c r="B86" s="431"/>
      <c r="C86" s="431"/>
      <c r="D86" s="431"/>
      <c r="E86" s="431"/>
      <c r="F86" s="431"/>
      <c r="G86" s="431"/>
      <c r="H86" s="431"/>
      <c r="I86" s="431"/>
      <c r="J86" s="431"/>
      <c r="K86" s="431"/>
      <c r="L86" s="431"/>
      <c r="M86" s="431"/>
    </row>
    <row r="87" spans="1:13" x14ac:dyDescent="0.35">
      <c r="A87" s="431"/>
      <c r="B87" s="431"/>
      <c r="C87" s="431"/>
      <c r="D87" s="431"/>
      <c r="E87" s="431"/>
      <c r="F87" s="431"/>
      <c r="G87" s="431"/>
      <c r="H87" s="431"/>
      <c r="I87" s="431"/>
      <c r="J87" s="431"/>
      <c r="K87" s="431"/>
      <c r="L87" s="431"/>
      <c r="M87" s="431"/>
    </row>
    <row r="88" spans="1:13" x14ac:dyDescent="0.35">
      <c r="A88" s="431"/>
      <c r="B88" s="431"/>
      <c r="C88" s="431"/>
      <c r="D88" s="431"/>
      <c r="E88" s="431"/>
      <c r="F88" s="431"/>
      <c r="G88" s="431"/>
      <c r="H88" s="431"/>
      <c r="I88" s="431"/>
      <c r="J88" s="431"/>
      <c r="K88" s="431"/>
      <c r="L88" s="431"/>
      <c r="M88" s="431"/>
    </row>
    <row r="89" spans="1:13" x14ac:dyDescent="0.35">
      <c r="A89" s="431"/>
      <c r="B89" s="431"/>
      <c r="C89" s="431"/>
      <c r="D89" s="431"/>
      <c r="E89" s="431"/>
      <c r="F89" s="431"/>
      <c r="G89" s="431"/>
      <c r="H89" s="431"/>
      <c r="I89" s="431"/>
      <c r="J89" s="431"/>
      <c r="K89" s="431"/>
      <c r="L89" s="431"/>
      <c r="M89" s="431"/>
    </row>
    <row r="90" spans="1:13" x14ac:dyDescent="0.35">
      <c r="A90" s="431"/>
      <c r="B90" s="431"/>
      <c r="C90" s="431"/>
      <c r="D90" s="431"/>
      <c r="E90" s="431"/>
      <c r="F90" s="431"/>
      <c r="G90" s="431"/>
      <c r="H90" s="431"/>
      <c r="I90" s="431"/>
      <c r="J90" s="431"/>
      <c r="K90" s="431"/>
      <c r="L90" s="431"/>
      <c r="M90" s="431"/>
    </row>
    <row r="91" spans="1:13" x14ac:dyDescent="0.35">
      <c r="A91" s="431"/>
      <c r="B91" s="431"/>
      <c r="C91" s="431"/>
      <c r="D91" s="431"/>
      <c r="E91" s="431"/>
      <c r="F91" s="431"/>
      <c r="G91" s="431"/>
      <c r="H91" s="431"/>
      <c r="I91" s="431"/>
      <c r="J91" s="431"/>
      <c r="K91" s="431"/>
      <c r="L91" s="431"/>
      <c r="M91" s="431"/>
    </row>
    <row r="92" spans="1:13" x14ac:dyDescent="0.35">
      <c r="A92" s="431"/>
      <c r="B92" s="431"/>
      <c r="C92" s="431"/>
      <c r="D92" s="431"/>
      <c r="E92" s="431"/>
      <c r="F92" s="431"/>
      <c r="G92" s="431"/>
      <c r="H92" s="431"/>
      <c r="I92" s="431"/>
      <c r="J92" s="431"/>
      <c r="K92" s="431"/>
      <c r="L92" s="431"/>
      <c r="M92" s="431"/>
    </row>
    <row r="93" spans="1:13" x14ac:dyDescent="0.35">
      <c r="A93" s="431"/>
      <c r="B93" s="431"/>
      <c r="C93" s="431"/>
      <c r="D93" s="431"/>
      <c r="E93" s="431"/>
      <c r="F93" s="431"/>
      <c r="G93" s="431"/>
      <c r="H93" s="431"/>
      <c r="I93" s="431"/>
      <c r="J93" s="431"/>
      <c r="K93" s="431"/>
      <c r="L93" s="431"/>
      <c r="M93" s="431"/>
    </row>
    <row r="94" spans="1:13" x14ac:dyDescent="0.35">
      <c r="A94" s="431"/>
      <c r="B94" s="431"/>
      <c r="C94" s="431"/>
      <c r="D94" s="431"/>
      <c r="E94" s="431"/>
      <c r="F94" s="431"/>
      <c r="G94" s="431"/>
      <c r="H94" s="431"/>
      <c r="I94" s="431"/>
      <c r="J94" s="431"/>
      <c r="K94" s="431"/>
      <c r="L94" s="431"/>
      <c r="M94" s="431"/>
    </row>
    <row r="95" spans="1:13" x14ac:dyDescent="0.35">
      <c r="A95" s="431"/>
      <c r="B95" s="431"/>
      <c r="C95" s="431"/>
      <c r="D95" s="431"/>
      <c r="E95" s="431"/>
      <c r="F95" s="431"/>
      <c r="G95" s="431"/>
      <c r="H95" s="431"/>
      <c r="I95" s="431"/>
      <c r="J95" s="431"/>
      <c r="K95" s="431"/>
      <c r="L95" s="431"/>
      <c r="M95" s="431"/>
    </row>
    <row r="96" spans="1:13" x14ac:dyDescent="0.35">
      <c r="A96" s="431"/>
      <c r="B96" s="431"/>
      <c r="C96" s="431"/>
      <c r="D96" s="431"/>
      <c r="E96" s="431"/>
      <c r="F96" s="431"/>
      <c r="G96" s="431"/>
      <c r="H96" s="431"/>
      <c r="I96" s="431"/>
      <c r="J96" s="431"/>
      <c r="K96" s="431"/>
      <c r="L96" s="431"/>
      <c r="M96" s="431"/>
    </row>
    <row r="97" spans="1:13" x14ac:dyDescent="0.35">
      <c r="A97" s="431"/>
      <c r="B97" s="431"/>
      <c r="C97" s="431"/>
      <c r="D97" s="431"/>
      <c r="E97" s="431"/>
      <c r="F97" s="431"/>
      <c r="G97" s="431"/>
      <c r="H97" s="431"/>
      <c r="I97" s="431"/>
      <c r="J97" s="431"/>
      <c r="K97" s="431"/>
      <c r="L97" s="431"/>
      <c r="M97" s="431"/>
    </row>
    <row r="98" spans="1:13" x14ac:dyDescent="0.35">
      <c r="A98" s="431"/>
      <c r="B98" s="431"/>
      <c r="C98" s="431"/>
      <c r="D98" s="431"/>
      <c r="E98" s="431"/>
      <c r="F98" s="431"/>
      <c r="G98" s="431"/>
      <c r="H98" s="431"/>
      <c r="I98" s="431"/>
      <c r="J98" s="431"/>
      <c r="K98" s="431"/>
      <c r="L98" s="431"/>
      <c r="M98" s="431"/>
    </row>
    <row r="99" spans="1:13" x14ac:dyDescent="0.35">
      <c r="A99" s="431"/>
      <c r="B99" s="431"/>
      <c r="C99" s="431"/>
      <c r="D99" s="431"/>
      <c r="E99" s="431"/>
      <c r="F99" s="431"/>
      <c r="G99" s="431"/>
      <c r="H99" s="431"/>
      <c r="I99" s="431"/>
      <c r="J99" s="431"/>
      <c r="K99" s="431"/>
      <c r="L99" s="431"/>
      <c r="M99" s="431"/>
    </row>
    <row r="100" spans="1:13" x14ac:dyDescent="0.35">
      <c r="A100" s="431"/>
      <c r="B100" s="431"/>
      <c r="C100" s="431"/>
      <c r="D100" s="431"/>
      <c r="E100" s="431"/>
      <c r="F100" s="431"/>
      <c r="G100" s="431"/>
      <c r="H100" s="431"/>
      <c r="I100" s="431"/>
      <c r="J100" s="431"/>
      <c r="K100" s="431"/>
      <c r="L100" s="431"/>
      <c r="M100" s="431"/>
    </row>
    <row r="101" spans="1:13" x14ac:dyDescent="0.35">
      <c r="A101" s="431"/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</row>
    <row r="102" spans="1:13" x14ac:dyDescent="0.35">
      <c r="A102" s="431"/>
      <c r="B102" s="431"/>
      <c r="C102" s="431"/>
      <c r="D102" s="431"/>
      <c r="E102" s="431"/>
      <c r="F102" s="431"/>
      <c r="G102" s="431"/>
      <c r="H102" s="431"/>
      <c r="I102" s="431"/>
      <c r="J102" s="431"/>
      <c r="K102" s="431"/>
      <c r="L102" s="431"/>
      <c r="M102" s="431"/>
    </row>
    <row r="103" spans="1:13" x14ac:dyDescent="0.35">
      <c r="A103" s="431"/>
      <c r="B103" s="431"/>
      <c r="C103" s="431"/>
      <c r="D103" s="431"/>
      <c r="E103" s="431"/>
      <c r="F103" s="431"/>
      <c r="G103" s="431"/>
      <c r="H103" s="431"/>
      <c r="I103" s="431"/>
      <c r="J103" s="431"/>
      <c r="K103" s="431"/>
      <c r="L103" s="431"/>
      <c r="M103" s="431"/>
    </row>
    <row r="104" spans="1:13" x14ac:dyDescent="0.35">
      <c r="A104" s="431"/>
      <c r="B104" s="431"/>
      <c r="C104" s="431"/>
      <c r="D104" s="431"/>
      <c r="E104" s="431"/>
      <c r="F104" s="431"/>
      <c r="G104" s="431"/>
      <c r="H104" s="431"/>
      <c r="I104" s="431"/>
      <c r="J104" s="431"/>
      <c r="K104" s="431"/>
      <c r="L104" s="431"/>
      <c r="M104" s="431"/>
    </row>
    <row r="105" spans="1:13" x14ac:dyDescent="0.35">
      <c r="A105" s="431"/>
      <c r="B105" s="431"/>
      <c r="C105" s="431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</row>
    <row r="106" spans="1:13" x14ac:dyDescent="0.35">
      <c r="A106" s="431"/>
      <c r="B106" s="431"/>
      <c r="C106" s="431"/>
      <c r="D106" s="431"/>
      <c r="E106" s="431"/>
      <c r="F106" s="431"/>
      <c r="G106" s="431"/>
      <c r="H106" s="431"/>
      <c r="I106" s="431"/>
      <c r="J106" s="431"/>
      <c r="K106" s="431"/>
      <c r="L106" s="431"/>
      <c r="M106" s="431"/>
    </row>
    <row r="107" spans="1:13" x14ac:dyDescent="0.35">
      <c r="A107" s="431"/>
      <c r="B107" s="431"/>
      <c r="C107" s="431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</row>
    <row r="108" spans="1:13" x14ac:dyDescent="0.35">
      <c r="A108" s="431"/>
      <c r="B108" s="431"/>
      <c r="C108" s="431"/>
      <c r="D108" s="431"/>
      <c r="E108" s="431"/>
      <c r="F108" s="431"/>
      <c r="G108" s="431"/>
      <c r="H108" s="431"/>
      <c r="I108" s="431"/>
      <c r="J108" s="431"/>
      <c r="K108" s="431"/>
      <c r="L108" s="431"/>
      <c r="M108" s="431"/>
    </row>
    <row r="109" spans="1:13" x14ac:dyDescent="0.35">
      <c r="A109" s="431"/>
      <c r="B109" s="431"/>
      <c r="C109" s="431"/>
      <c r="D109" s="431"/>
      <c r="E109" s="431"/>
      <c r="F109" s="431"/>
      <c r="G109" s="431"/>
      <c r="H109" s="431"/>
      <c r="I109" s="431"/>
      <c r="J109" s="431"/>
      <c r="K109" s="431"/>
      <c r="L109" s="431"/>
      <c r="M109" s="431"/>
    </row>
    <row r="110" spans="1:13" x14ac:dyDescent="0.35">
      <c r="A110" s="431"/>
      <c r="B110" s="431"/>
      <c r="C110" s="431"/>
      <c r="D110" s="431"/>
      <c r="E110" s="431"/>
      <c r="F110" s="431"/>
      <c r="G110" s="431"/>
      <c r="H110" s="431"/>
      <c r="I110" s="431"/>
      <c r="J110" s="431"/>
      <c r="K110" s="431"/>
      <c r="L110" s="431"/>
      <c r="M110" s="431"/>
    </row>
    <row r="111" spans="1:13" x14ac:dyDescent="0.35">
      <c r="A111" s="431"/>
      <c r="B111" s="431"/>
      <c r="C111" s="431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</row>
    <row r="112" spans="1:13" x14ac:dyDescent="0.35">
      <c r="A112" s="431"/>
      <c r="B112" s="431"/>
      <c r="C112" s="431"/>
      <c r="D112" s="431"/>
      <c r="E112" s="431"/>
      <c r="F112" s="431"/>
      <c r="G112" s="431"/>
      <c r="H112" s="431"/>
      <c r="I112" s="431"/>
      <c r="J112" s="431"/>
      <c r="K112" s="431"/>
      <c r="L112" s="431"/>
      <c r="M112" s="431"/>
    </row>
    <row r="113" spans="1:13" x14ac:dyDescent="0.35">
      <c r="A113" s="431"/>
      <c r="B113" s="431"/>
      <c r="C113" s="431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</row>
    <row r="114" spans="1:13" x14ac:dyDescent="0.35">
      <c r="A114" s="431"/>
      <c r="B114" s="431"/>
      <c r="C114" s="431"/>
      <c r="D114" s="431"/>
      <c r="E114" s="431"/>
      <c r="F114" s="431"/>
      <c r="G114" s="431"/>
      <c r="H114" s="431"/>
      <c r="I114" s="431"/>
      <c r="J114" s="431"/>
      <c r="K114" s="431"/>
      <c r="L114" s="431"/>
      <c r="M114" s="431"/>
    </row>
    <row r="115" spans="1:13" x14ac:dyDescent="0.35">
      <c r="A115" s="431"/>
      <c r="B115" s="431"/>
      <c r="C115" s="431"/>
      <c r="D115" s="431"/>
      <c r="E115" s="431"/>
      <c r="F115" s="431"/>
      <c r="G115" s="431"/>
      <c r="H115" s="431"/>
      <c r="I115" s="431"/>
      <c r="J115" s="431"/>
      <c r="K115" s="431"/>
      <c r="L115" s="431"/>
      <c r="M115" s="431"/>
    </row>
    <row r="116" spans="1:13" x14ac:dyDescent="0.35">
      <c r="A116" s="431"/>
      <c r="B116" s="431"/>
      <c r="C116" s="431"/>
      <c r="D116" s="431"/>
      <c r="E116" s="431"/>
      <c r="F116" s="431"/>
      <c r="G116" s="431"/>
      <c r="H116" s="431"/>
      <c r="I116" s="431"/>
      <c r="J116" s="431"/>
      <c r="K116" s="431"/>
      <c r="L116" s="431"/>
      <c r="M116" s="431"/>
    </row>
    <row r="117" spans="1:13" x14ac:dyDescent="0.35">
      <c r="A117" s="431"/>
      <c r="B117" s="431"/>
      <c r="C117" s="431"/>
      <c r="D117" s="431"/>
      <c r="E117" s="431"/>
      <c r="F117" s="431"/>
      <c r="G117" s="431"/>
      <c r="H117" s="431"/>
      <c r="I117" s="431"/>
      <c r="J117" s="431"/>
      <c r="K117" s="431"/>
      <c r="L117" s="431"/>
      <c r="M117" s="431"/>
    </row>
    <row r="118" spans="1:13" x14ac:dyDescent="0.35">
      <c r="A118" s="431"/>
      <c r="B118" s="431"/>
      <c r="C118" s="431"/>
      <c r="D118" s="431"/>
      <c r="E118" s="431"/>
      <c r="F118" s="431"/>
      <c r="G118" s="431"/>
      <c r="H118" s="431"/>
      <c r="I118" s="431"/>
      <c r="J118" s="431"/>
      <c r="K118" s="431"/>
      <c r="L118" s="431"/>
      <c r="M118" s="431"/>
    </row>
    <row r="119" spans="1:13" x14ac:dyDescent="0.35">
      <c r="A119" s="431"/>
      <c r="B119" s="431"/>
      <c r="C119" s="431"/>
      <c r="D119" s="431"/>
      <c r="E119" s="431"/>
      <c r="F119" s="431"/>
      <c r="G119" s="431"/>
      <c r="H119" s="431"/>
      <c r="I119" s="431"/>
      <c r="J119" s="431"/>
      <c r="K119" s="431"/>
      <c r="L119" s="431"/>
      <c r="M119" s="431"/>
    </row>
    <row r="120" spans="1:13" x14ac:dyDescent="0.35">
      <c r="A120" s="431"/>
      <c r="B120" s="431"/>
      <c r="C120" s="431"/>
      <c r="D120" s="431"/>
      <c r="E120" s="431"/>
      <c r="F120" s="431"/>
      <c r="G120" s="431"/>
      <c r="H120" s="431"/>
      <c r="I120" s="431"/>
      <c r="J120" s="431"/>
      <c r="K120" s="431"/>
      <c r="L120" s="431"/>
      <c r="M120" s="431"/>
    </row>
    <row r="121" spans="1:13" x14ac:dyDescent="0.35">
      <c r="A121" s="431"/>
      <c r="B121" s="431"/>
      <c r="C121" s="431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</row>
    <row r="122" spans="1:13" x14ac:dyDescent="0.35">
      <c r="A122" s="431"/>
      <c r="B122" s="431"/>
      <c r="C122" s="431"/>
      <c r="D122" s="431"/>
      <c r="E122" s="431"/>
      <c r="F122" s="431"/>
      <c r="G122" s="431"/>
      <c r="H122" s="431"/>
      <c r="I122" s="431"/>
      <c r="J122" s="431"/>
      <c r="K122" s="431"/>
      <c r="L122" s="431"/>
      <c r="M122" s="431"/>
    </row>
    <row r="123" spans="1:13" x14ac:dyDescent="0.35">
      <c r="A123" s="431"/>
      <c r="B123" s="431"/>
      <c r="C123" s="431"/>
      <c r="D123" s="431"/>
      <c r="E123" s="431"/>
      <c r="F123" s="431"/>
      <c r="G123" s="431"/>
      <c r="H123" s="431"/>
      <c r="I123" s="431"/>
      <c r="J123" s="431"/>
      <c r="K123" s="431"/>
      <c r="L123" s="431"/>
      <c r="M123" s="431"/>
    </row>
    <row r="124" spans="1:13" x14ac:dyDescent="0.35">
      <c r="A124" s="431"/>
      <c r="B124" s="431"/>
      <c r="C124" s="431"/>
      <c r="D124" s="431"/>
      <c r="E124" s="431"/>
      <c r="F124" s="431"/>
      <c r="G124" s="431"/>
      <c r="H124" s="431"/>
      <c r="I124" s="431"/>
      <c r="J124" s="431"/>
      <c r="K124" s="431"/>
      <c r="L124" s="431"/>
      <c r="M124" s="431"/>
    </row>
    <row r="125" spans="1:13" x14ac:dyDescent="0.35">
      <c r="A125" s="431"/>
      <c r="B125" s="431"/>
      <c r="C125" s="431"/>
      <c r="D125" s="431"/>
      <c r="E125" s="431"/>
      <c r="F125" s="431"/>
      <c r="G125" s="431"/>
      <c r="H125" s="431"/>
      <c r="I125" s="431"/>
      <c r="J125" s="431"/>
      <c r="K125" s="431"/>
      <c r="L125" s="431"/>
      <c r="M125" s="431"/>
    </row>
    <row r="126" spans="1:13" x14ac:dyDescent="0.35">
      <c r="A126" s="431"/>
      <c r="B126" s="431"/>
      <c r="C126" s="431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</row>
    <row r="127" spans="1:13" x14ac:dyDescent="0.35">
      <c r="A127" s="431"/>
      <c r="B127" s="431"/>
      <c r="C127" s="431"/>
      <c r="D127" s="431"/>
      <c r="E127" s="431"/>
      <c r="F127" s="431"/>
      <c r="G127" s="431"/>
      <c r="H127" s="431"/>
      <c r="I127" s="431"/>
      <c r="J127" s="431"/>
      <c r="K127" s="431"/>
      <c r="L127" s="431"/>
      <c r="M127" s="431"/>
    </row>
    <row r="128" spans="1:13" x14ac:dyDescent="0.35">
      <c r="A128" s="431"/>
      <c r="B128" s="431"/>
      <c r="C128" s="431"/>
      <c r="D128" s="431"/>
      <c r="E128" s="431"/>
      <c r="F128" s="431"/>
      <c r="G128" s="431"/>
      <c r="H128" s="431"/>
      <c r="I128" s="431"/>
      <c r="J128" s="431"/>
      <c r="K128" s="431"/>
      <c r="L128" s="431"/>
      <c r="M128" s="431"/>
    </row>
    <row r="129" spans="1:13" x14ac:dyDescent="0.35">
      <c r="A129" s="431"/>
      <c r="B129" s="431"/>
      <c r="C129" s="431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</row>
    <row r="130" spans="1:13" x14ac:dyDescent="0.35">
      <c r="A130" s="431"/>
      <c r="B130" s="431"/>
      <c r="C130" s="431"/>
      <c r="D130" s="431"/>
      <c r="E130" s="431"/>
      <c r="F130" s="431"/>
      <c r="G130" s="431"/>
      <c r="H130" s="431"/>
      <c r="I130" s="431"/>
      <c r="J130" s="431"/>
      <c r="K130" s="431"/>
      <c r="L130" s="431"/>
      <c r="M130" s="431"/>
    </row>
    <row r="131" spans="1:13" x14ac:dyDescent="0.35">
      <c r="A131" s="431"/>
      <c r="B131" s="431"/>
      <c r="C131" s="431"/>
      <c r="D131" s="431"/>
      <c r="E131" s="431"/>
      <c r="F131" s="431"/>
      <c r="G131" s="431"/>
      <c r="H131" s="431"/>
      <c r="I131" s="431"/>
      <c r="J131" s="431"/>
      <c r="K131" s="431"/>
      <c r="L131" s="431"/>
      <c r="M131" s="431"/>
    </row>
    <row r="132" spans="1:13" x14ac:dyDescent="0.35">
      <c r="A132" s="431"/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1"/>
    </row>
    <row r="133" spans="1:13" x14ac:dyDescent="0.35">
      <c r="A133" s="431"/>
      <c r="B133" s="431"/>
      <c r="C133" s="431"/>
      <c r="D133" s="431"/>
      <c r="E133" s="431"/>
      <c r="F133" s="431"/>
      <c r="G133" s="431"/>
      <c r="H133" s="431"/>
      <c r="I133" s="431"/>
      <c r="J133" s="431"/>
      <c r="K133" s="431"/>
      <c r="L133" s="431"/>
      <c r="M133" s="431"/>
    </row>
    <row r="134" spans="1:13" x14ac:dyDescent="0.35">
      <c r="A134" s="431"/>
      <c r="B134" s="431"/>
      <c r="C134" s="431"/>
      <c r="D134" s="431"/>
      <c r="E134" s="431"/>
      <c r="F134" s="431"/>
      <c r="G134" s="431"/>
      <c r="H134" s="431"/>
      <c r="I134" s="431"/>
      <c r="J134" s="431"/>
      <c r="K134" s="431"/>
      <c r="L134" s="431"/>
      <c r="M134" s="431"/>
    </row>
    <row r="135" spans="1:13" x14ac:dyDescent="0.35">
      <c r="A135" s="431"/>
      <c r="B135" s="431"/>
      <c r="C135" s="431"/>
      <c r="D135" s="431"/>
      <c r="E135" s="431"/>
      <c r="F135" s="431"/>
      <c r="G135" s="431"/>
      <c r="H135" s="431"/>
      <c r="I135" s="431"/>
      <c r="J135" s="431"/>
      <c r="K135" s="431"/>
      <c r="L135" s="431"/>
      <c r="M135" s="431"/>
    </row>
    <row r="136" spans="1:13" x14ac:dyDescent="0.35">
      <c r="A136" s="431"/>
      <c r="B136" s="431"/>
      <c r="C136" s="431"/>
      <c r="D136" s="431"/>
      <c r="E136" s="431"/>
      <c r="F136" s="431"/>
      <c r="G136" s="431"/>
      <c r="H136" s="431"/>
      <c r="I136" s="431"/>
      <c r="J136" s="431"/>
      <c r="K136" s="431"/>
      <c r="L136" s="431"/>
      <c r="M136" s="431"/>
    </row>
    <row r="137" spans="1:13" x14ac:dyDescent="0.35">
      <c r="A137" s="431"/>
      <c r="B137" s="431"/>
      <c r="C137" s="431"/>
      <c r="D137" s="431"/>
      <c r="E137" s="431"/>
      <c r="F137" s="431"/>
      <c r="G137" s="431"/>
      <c r="H137" s="431"/>
      <c r="I137" s="431"/>
      <c r="J137" s="431"/>
      <c r="K137" s="431"/>
      <c r="L137" s="431"/>
      <c r="M137" s="431"/>
    </row>
    <row r="138" spans="1:13" x14ac:dyDescent="0.35">
      <c r="A138" s="431"/>
      <c r="B138" s="431"/>
      <c r="C138" s="431"/>
      <c r="D138" s="431"/>
      <c r="E138" s="431"/>
      <c r="F138" s="431"/>
      <c r="G138" s="431"/>
      <c r="H138" s="431"/>
      <c r="I138" s="431"/>
      <c r="J138" s="431"/>
      <c r="K138" s="431"/>
      <c r="L138" s="431"/>
      <c r="M138" s="431"/>
    </row>
    <row r="139" spans="1:13" x14ac:dyDescent="0.35">
      <c r="A139" s="431"/>
      <c r="B139" s="431"/>
      <c r="C139" s="431"/>
      <c r="D139" s="431"/>
      <c r="E139" s="431"/>
      <c r="F139" s="431"/>
      <c r="G139" s="431"/>
      <c r="H139" s="431"/>
      <c r="I139" s="431"/>
      <c r="J139" s="431"/>
      <c r="K139" s="431"/>
      <c r="L139" s="431"/>
      <c r="M139" s="431"/>
    </row>
    <row r="140" spans="1:13" x14ac:dyDescent="0.35">
      <c r="A140" s="431"/>
      <c r="B140" s="431"/>
      <c r="C140" s="431"/>
      <c r="D140" s="431"/>
      <c r="E140" s="431"/>
      <c r="F140" s="431"/>
      <c r="G140" s="431"/>
      <c r="H140" s="431"/>
      <c r="I140" s="431"/>
      <c r="J140" s="431"/>
      <c r="K140" s="431"/>
      <c r="L140" s="431"/>
      <c r="M140" s="431"/>
    </row>
    <row r="141" spans="1:13" x14ac:dyDescent="0.35">
      <c r="A141" s="431"/>
      <c r="B141" s="431"/>
      <c r="C141" s="431"/>
      <c r="D141" s="431"/>
      <c r="E141" s="431"/>
      <c r="F141" s="431"/>
      <c r="G141" s="431"/>
      <c r="H141" s="431"/>
      <c r="I141" s="431"/>
      <c r="J141" s="431"/>
      <c r="K141" s="431"/>
      <c r="L141" s="431"/>
      <c r="M141" s="431"/>
    </row>
    <row r="142" spans="1:13" x14ac:dyDescent="0.35">
      <c r="A142" s="431"/>
      <c r="B142" s="431"/>
      <c r="C142" s="431"/>
      <c r="D142" s="431"/>
      <c r="E142" s="431"/>
      <c r="F142" s="431"/>
      <c r="G142" s="431"/>
      <c r="H142" s="431"/>
      <c r="I142" s="431"/>
      <c r="J142" s="431"/>
      <c r="K142" s="431"/>
      <c r="L142" s="431"/>
      <c r="M142" s="431"/>
    </row>
    <row r="143" spans="1:13" x14ac:dyDescent="0.35">
      <c r="A143" s="431"/>
      <c r="B143" s="431"/>
      <c r="C143" s="431"/>
      <c r="D143" s="431"/>
      <c r="E143" s="431"/>
      <c r="F143" s="431"/>
      <c r="G143" s="431"/>
      <c r="H143" s="431"/>
      <c r="I143" s="431"/>
      <c r="J143" s="431"/>
      <c r="K143" s="431"/>
      <c r="L143" s="431"/>
      <c r="M143" s="431"/>
    </row>
    <row r="144" spans="1:13" x14ac:dyDescent="0.35">
      <c r="A144" s="431"/>
      <c r="B144" s="431"/>
      <c r="C144" s="431"/>
      <c r="D144" s="431"/>
      <c r="E144" s="431"/>
      <c r="F144" s="431"/>
      <c r="G144" s="431"/>
      <c r="H144" s="431"/>
      <c r="I144" s="431"/>
      <c r="J144" s="431"/>
      <c r="K144" s="431"/>
      <c r="L144" s="431"/>
      <c r="M144" s="431"/>
    </row>
    <row r="145" spans="1:13" x14ac:dyDescent="0.35">
      <c r="A145" s="431"/>
      <c r="B145" s="431"/>
      <c r="C145" s="431"/>
      <c r="D145" s="431"/>
      <c r="E145" s="431"/>
      <c r="F145" s="431"/>
      <c r="G145" s="431"/>
      <c r="H145" s="431"/>
      <c r="I145" s="431"/>
      <c r="J145" s="431"/>
      <c r="K145" s="431"/>
      <c r="L145" s="431"/>
      <c r="M145" s="431"/>
    </row>
    <row r="146" spans="1:13" x14ac:dyDescent="0.35">
      <c r="A146" s="431"/>
      <c r="B146" s="431"/>
      <c r="C146" s="431"/>
      <c r="D146" s="431"/>
      <c r="E146" s="431"/>
      <c r="F146" s="431"/>
      <c r="G146" s="431"/>
      <c r="H146" s="431"/>
      <c r="I146" s="431"/>
      <c r="J146" s="431"/>
      <c r="K146" s="431"/>
      <c r="L146" s="431"/>
      <c r="M146" s="431"/>
    </row>
    <row r="147" spans="1:13" x14ac:dyDescent="0.35">
      <c r="A147" s="431"/>
      <c r="B147" s="431"/>
      <c r="C147" s="431"/>
      <c r="D147" s="431"/>
      <c r="E147" s="431"/>
      <c r="F147" s="431"/>
      <c r="G147" s="431"/>
      <c r="H147" s="431"/>
      <c r="I147" s="431"/>
      <c r="J147" s="431"/>
      <c r="K147" s="431"/>
      <c r="L147" s="431"/>
      <c r="M147" s="431"/>
    </row>
    <row r="148" spans="1:13" x14ac:dyDescent="0.35">
      <c r="A148" s="431"/>
      <c r="B148" s="431"/>
      <c r="C148" s="431"/>
      <c r="D148" s="431"/>
      <c r="E148" s="431"/>
      <c r="F148" s="431"/>
      <c r="G148" s="431"/>
      <c r="H148" s="431"/>
      <c r="I148" s="431"/>
      <c r="J148" s="431"/>
      <c r="K148" s="431"/>
      <c r="L148" s="431"/>
      <c r="M148" s="431"/>
    </row>
    <row r="149" spans="1:13" x14ac:dyDescent="0.35">
      <c r="A149" s="431"/>
      <c r="B149" s="431"/>
      <c r="C149" s="431"/>
      <c r="D149" s="431"/>
      <c r="E149" s="431"/>
      <c r="F149" s="431"/>
      <c r="G149" s="431"/>
      <c r="H149" s="431"/>
      <c r="I149" s="431"/>
      <c r="J149" s="431"/>
      <c r="K149" s="431"/>
      <c r="L149" s="431"/>
      <c r="M149" s="431"/>
    </row>
    <row r="150" spans="1:13" x14ac:dyDescent="0.35">
      <c r="A150" s="431"/>
      <c r="B150" s="431"/>
      <c r="C150" s="431"/>
      <c r="D150" s="431"/>
      <c r="E150" s="431"/>
      <c r="F150" s="431"/>
      <c r="G150" s="431"/>
      <c r="H150" s="431"/>
      <c r="I150" s="431"/>
      <c r="J150" s="431"/>
      <c r="K150" s="431"/>
      <c r="L150" s="431"/>
      <c r="M150" s="431"/>
    </row>
    <row r="151" spans="1:13" x14ac:dyDescent="0.35">
      <c r="A151" s="431"/>
      <c r="B151" s="431"/>
      <c r="C151" s="431"/>
      <c r="D151" s="431"/>
      <c r="E151" s="431"/>
      <c r="F151" s="431"/>
      <c r="G151" s="431"/>
      <c r="H151" s="431"/>
      <c r="I151" s="431"/>
      <c r="J151" s="431"/>
      <c r="K151" s="431"/>
      <c r="L151" s="431"/>
      <c r="M151" s="431"/>
    </row>
    <row r="152" spans="1:13" x14ac:dyDescent="0.35">
      <c r="A152" s="431"/>
      <c r="B152" s="431"/>
      <c r="C152" s="431"/>
      <c r="D152" s="431"/>
      <c r="E152" s="431"/>
      <c r="F152" s="431"/>
      <c r="G152" s="431"/>
      <c r="H152" s="431"/>
      <c r="I152" s="431"/>
      <c r="J152" s="431"/>
      <c r="K152" s="431"/>
      <c r="L152" s="431"/>
      <c r="M152" s="431"/>
    </row>
    <row r="153" spans="1:13" x14ac:dyDescent="0.35">
      <c r="A153" s="431"/>
      <c r="B153" s="431"/>
      <c r="C153" s="431"/>
      <c r="D153" s="431"/>
      <c r="E153" s="431"/>
      <c r="F153" s="431"/>
      <c r="G153" s="431"/>
      <c r="H153" s="431"/>
      <c r="I153" s="431"/>
      <c r="J153" s="431"/>
      <c r="K153" s="431"/>
      <c r="L153" s="431"/>
      <c r="M153" s="431"/>
    </row>
    <row r="154" spans="1:13" x14ac:dyDescent="0.35">
      <c r="A154" s="431"/>
      <c r="B154" s="431"/>
      <c r="C154" s="431"/>
      <c r="D154" s="431"/>
      <c r="E154" s="431"/>
      <c r="F154" s="431"/>
      <c r="G154" s="431"/>
      <c r="H154" s="431"/>
      <c r="I154" s="431"/>
      <c r="J154" s="431"/>
      <c r="K154" s="431"/>
      <c r="L154" s="431"/>
      <c r="M154" s="431"/>
    </row>
    <row r="155" spans="1:13" x14ac:dyDescent="0.35">
      <c r="A155" s="431"/>
      <c r="B155" s="431"/>
      <c r="C155" s="431"/>
      <c r="D155" s="431"/>
      <c r="E155" s="431"/>
      <c r="F155" s="431"/>
      <c r="G155" s="431"/>
      <c r="H155" s="431"/>
      <c r="I155" s="431"/>
      <c r="J155" s="431"/>
      <c r="K155" s="431"/>
      <c r="L155" s="431"/>
      <c r="M155" s="431"/>
    </row>
    <row r="156" spans="1:13" x14ac:dyDescent="0.35">
      <c r="A156" s="431"/>
      <c r="B156" s="431"/>
      <c r="C156" s="431"/>
      <c r="D156" s="431"/>
      <c r="E156" s="431"/>
      <c r="F156" s="431"/>
      <c r="G156" s="431"/>
      <c r="H156" s="431"/>
      <c r="I156" s="431"/>
      <c r="J156" s="431"/>
      <c r="K156" s="431"/>
      <c r="L156" s="431"/>
      <c r="M156" s="431"/>
    </row>
    <row r="157" spans="1:13" x14ac:dyDescent="0.35">
      <c r="A157" s="431"/>
      <c r="B157" s="431"/>
      <c r="C157" s="431"/>
      <c r="D157" s="431"/>
      <c r="E157" s="431"/>
      <c r="F157" s="431"/>
      <c r="G157" s="431"/>
      <c r="H157" s="431"/>
      <c r="I157" s="431"/>
      <c r="J157" s="431"/>
      <c r="K157" s="431"/>
      <c r="L157" s="431"/>
      <c r="M157" s="431"/>
    </row>
    <row r="158" spans="1:13" x14ac:dyDescent="0.35">
      <c r="A158" s="431"/>
      <c r="B158" s="431"/>
      <c r="C158" s="431"/>
      <c r="D158" s="431"/>
      <c r="E158" s="431"/>
      <c r="F158" s="431"/>
      <c r="G158" s="431"/>
      <c r="H158" s="431"/>
      <c r="I158" s="431"/>
      <c r="J158" s="431"/>
      <c r="K158" s="431"/>
      <c r="L158" s="431"/>
      <c r="M158" s="431"/>
    </row>
    <row r="159" spans="1:13" x14ac:dyDescent="0.35">
      <c r="A159" s="431"/>
      <c r="B159" s="431"/>
      <c r="C159" s="431"/>
      <c r="D159" s="431"/>
      <c r="E159" s="431"/>
      <c r="F159" s="431"/>
      <c r="G159" s="431"/>
      <c r="H159" s="431"/>
      <c r="I159" s="431"/>
      <c r="J159" s="431"/>
      <c r="K159" s="431"/>
      <c r="L159" s="431"/>
      <c r="M159" s="431"/>
    </row>
    <row r="160" spans="1:13" x14ac:dyDescent="0.35">
      <c r="A160" s="431"/>
      <c r="B160" s="431"/>
      <c r="C160" s="431"/>
      <c r="D160" s="431"/>
      <c r="E160" s="431"/>
      <c r="F160" s="431"/>
      <c r="G160" s="431"/>
      <c r="H160" s="431"/>
      <c r="I160" s="431"/>
      <c r="J160" s="431"/>
      <c r="K160" s="431"/>
      <c r="L160" s="431"/>
      <c r="M160" s="431"/>
    </row>
    <row r="161" spans="1:13" x14ac:dyDescent="0.35">
      <c r="A161" s="431"/>
      <c r="B161" s="431"/>
      <c r="C161" s="431"/>
      <c r="D161" s="431"/>
      <c r="E161" s="431"/>
      <c r="F161" s="431"/>
      <c r="G161" s="431"/>
      <c r="H161" s="431"/>
      <c r="I161" s="431"/>
      <c r="J161" s="431"/>
      <c r="K161" s="431"/>
      <c r="L161" s="431"/>
      <c r="M161" s="431"/>
    </row>
    <row r="162" spans="1:13" x14ac:dyDescent="0.35">
      <c r="A162" s="431"/>
      <c r="B162" s="431"/>
      <c r="C162" s="431"/>
      <c r="D162" s="431"/>
      <c r="E162" s="431"/>
      <c r="F162" s="431"/>
      <c r="G162" s="431"/>
      <c r="H162" s="431"/>
      <c r="I162" s="431"/>
      <c r="J162" s="431"/>
      <c r="K162" s="431"/>
      <c r="L162" s="431"/>
      <c r="M162" s="431"/>
    </row>
    <row r="163" spans="1:13" x14ac:dyDescent="0.35">
      <c r="A163" s="431"/>
      <c r="B163" s="431"/>
      <c r="C163" s="431"/>
      <c r="D163" s="431"/>
      <c r="E163" s="431"/>
      <c r="F163" s="431"/>
      <c r="G163" s="431"/>
      <c r="H163" s="431"/>
      <c r="I163" s="431"/>
      <c r="J163" s="431"/>
      <c r="K163" s="431"/>
      <c r="L163" s="431"/>
      <c r="M163" s="431"/>
    </row>
    <row r="164" spans="1:13" x14ac:dyDescent="0.35">
      <c r="A164" s="431"/>
      <c r="B164" s="431"/>
      <c r="C164" s="431"/>
      <c r="D164" s="431"/>
      <c r="E164" s="431"/>
      <c r="F164" s="431"/>
      <c r="G164" s="431"/>
      <c r="H164" s="431"/>
      <c r="I164" s="431"/>
      <c r="J164" s="431"/>
      <c r="K164" s="431"/>
      <c r="L164" s="431"/>
      <c r="M164" s="431"/>
    </row>
    <row r="165" spans="1:13" x14ac:dyDescent="0.35">
      <c r="A165" s="431"/>
      <c r="B165" s="431"/>
      <c r="C165" s="431"/>
      <c r="D165" s="431"/>
      <c r="E165" s="431"/>
      <c r="F165" s="431"/>
      <c r="G165" s="431"/>
      <c r="H165" s="431"/>
      <c r="I165" s="431"/>
      <c r="J165" s="431"/>
      <c r="K165" s="431"/>
      <c r="L165" s="431"/>
      <c r="M165" s="431"/>
    </row>
    <row r="166" spans="1:13" x14ac:dyDescent="0.35">
      <c r="A166" s="431"/>
      <c r="B166" s="431"/>
      <c r="C166" s="431"/>
      <c r="D166" s="431"/>
      <c r="E166" s="431"/>
      <c r="F166" s="431"/>
      <c r="G166" s="431"/>
      <c r="H166" s="431"/>
      <c r="I166" s="431"/>
      <c r="J166" s="431"/>
      <c r="K166" s="431"/>
      <c r="L166" s="431"/>
      <c r="M166" s="431"/>
    </row>
    <row r="167" spans="1:13" x14ac:dyDescent="0.35">
      <c r="A167" s="431"/>
      <c r="B167" s="431"/>
      <c r="C167" s="431"/>
      <c r="D167" s="431"/>
      <c r="E167" s="431"/>
      <c r="F167" s="431"/>
      <c r="G167" s="431"/>
      <c r="H167" s="431"/>
      <c r="I167" s="431"/>
      <c r="J167" s="431"/>
      <c r="K167" s="431"/>
      <c r="L167" s="431"/>
      <c r="M167" s="431"/>
    </row>
    <row r="168" spans="1:13" x14ac:dyDescent="0.35">
      <c r="A168" s="431"/>
      <c r="B168" s="431"/>
      <c r="C168" s="431"/>
      <c r="D168" s="431"/>
      <c r="E168" s="431"/>
      <c r="F168" s="431"/>
      <c r="G168" s="431"/>
      <c r="H168" s="431"/>
      <c r="I168" s="431"/>
      <c r="J168" s="431"/>
      <c r="K168" s="431"/>
      <c r="L168" s="431"/>
      <c r="M168" s="431"/>
    </row>
    <row r="169" spans="1:13" x14ac:dyDescent="0.35">
      <c r="A169" s="431"/>
      <c r="B169" s="431"/>
      <c r="C169" s="431"/>
      <c r="D169" s="431"/>
      <c r="E169" s="431"/>
      <c r="F169" s="431"/>
      <c r="G169" s="431"/>
      <c r="H169" s="431"/>
      <c r="I169" s="431"/>
      <c r="J169" s="431"/>
      <c r="K169" s="431"/>
      <c r="L169" s="431"/>
      <c r="M169" s="431"/>
    </row>
    <row r="170" spans="1:13" x14ac:dyDescent="0.35">
      <c r="A170" s="431"/>
      <c r="B170" s="431"/>
      <c r="C170" s="431"/>
      <c r="D170" s="431"/>
      <c r="E170" s="431"/>
      <c r="F170" s="431"/>
      <c r="G170" s="431"/>
      <c r="H170" s="431"/>
      <c r="I170" s="431"/>
      <c r="J170" s="431"/>
      <c r="K170" s="431"/>
      <c r="L170" s="431"/>
      <c r="M170" s="431"/>
    </row>
    <row r="171" spans="1:13" x14ac:dyDescent="0.35">
      <c r="A171" s="431"/>
      <c r="B171" s="431"/>
      <c r="C171" s="431"/>
      <c r="D171" s="431"/>
      <c r="E171" s="431"/>
      <c r="F171" s="431"/>
      <c r="G171" s="431"/>
      <c r="H171" s="431"/>
      <c r="I171" s="431"/>
      <c r="J171" s="431"/>
      <c r="K171" s="431"/>
      <c r="L171" s="431"/>
      <c r="M171" s="431"/>
    </row>
    <row r="172" spans="1:13" x14ac:dyDescent="0.35">
      <c r="A172" s="431"/>
      <c r="B172" s="431"/>
      <c r="C172" s="431"/>
      <c r="D172" s="431"/>
      <c r="E172" s="431"/>
      <c r="F172" s="431"/>
      <c r="G172" s="431"/>
      <c r="H172" s="431"/>
      <c r="I172" s="431"/>
      <c r="J172" s="431"/>
      <c r="K172" s="431"/>
      <c r="L172" s="431"/>
      <c r="M172" s="431"/>
    </row>
    <row r="173" spans="1:13" x14ac:dyDescent="0.35">
      <c r="A173" s="431"/>
      <c r="B173" s="431"/>
      <c r="C173" s="431"/>
      <c r="D173" s="431"/>
      <c r="E173" s="431"/>
      <c r="F173" s="431"/>
      <c r="G173" s="431"/>
      <c r="H173" s="431"/>
      <c r="I173" s="431"/>
      <c r="J173" s="431"/>
      <c r="K173" s="431"/>
      <c r="L173" s="431"/>
      <c r="M173" s="431"/>
    </row>
    <row r="174" spans="1:13" x14ac:dyDescent="0.35">
      <c r="A174" s="431"/>
      <c r="B174" s="431"/>
      <c r="C174" s="431"/>
      <c r="D174" s="431"/>
      <c r="E174" s="431"/>
      <c r="F174" s="431"/>
      <c r="G174" s="431"/>
      <c r="H174" s="431"/>
      <c r="I174" s="431"/>
      <c r="J174" s="431"/>
      <c r="K174" s="431"/>
      <c r="L174" s="431"/>
      <c r="M174" s="431"/>
    </row>
    <row r="175" spans="1:13" x14ac:dyDescent="0.35">
      <c r="A175" s="431"/>
      <c r="B175" s="431"/>
      <c r="C175" s="431"/>
      <c r="D175" s="431"/>
      <c r="E175" s="431"/>
      <c r="F175" s="431"/>
      <c r="G175" s="431"/>
      <c r="H175" s="431"/>
      <c r="I175" s="431"/>
      <c r="J175" s="431"/>
      <c r="K175" s="431"/>
      <c r="L175" s="431"/>
      <c r="M175" s="431"/>
    </row>
    <row r="176" spans="1:13" x14ac:dyDescent="0.35">
      <c r="A176" s="431"/>
      <c r="B176" s="431"/>
      <c r="C176" s="431"/>
      <c r="D176" s="431"/>
      <c r="E176" s="431"/>
      <c r="F176" s="431"/>
      <c r="G176" s="431"/>
      <c r="H176" s="431"/>
      <c r="I176" s="431"/>
      <c r="J176" s="431"/>
      <c r="K176" s="431"/>
      <c r="L176" s="431"/>
      <c r="M176" s="431"/>
    </row>
    <row r="177" spans="1:13" x14ac:dyDescent="0.35">
      <c r="A177" s="431"/>
      <c r="B177" s="431"/>
      <c r="C177" s="431"/>
      <c r="D177" s="431"/>
      <c r="E177" s="431"/>
      <c r="F177" s="431"/>
      <c r="G177" s="431"/>
      <c r="H177" s="431"/>
      <c r="I177" s="431"/>
      <c r="J177" s="431"/>
      <c r="K177" s="431"/>
      <c r="L177" s="431"/>
      <c r="M177" s="431"/>
    </row>
    <row r="178" spans="1:13" x14ac:dyDescent="0.35">
      <c r="A178" s="431"/>
      <c r="B178" s="431"/>
      <c r="C178" s="431"/>
      <c r="D178" s="431"/>
      <c r="E178" s="431"/>
      <c r="F178" s="431"/>
      <c r="G178" s="431"/>
      <c r="H178" s="431"/>
      <c r="I178" s="431"/>
      <c r="J178" s="431"/>
      <c r="K178" s="431"/>
      <c r="L178" s="431"/>
      <c r="M178" s="431"/>
    </row>
    <row r="179" spans="1:13" x14ac:dyDescent="0.35">
      <c r="A179" s="431"/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1"/>
    </row>
    <row r="180" spans="1:13" x14ac:dyDescent="0.35">
      <c r="A180" s="431"/>
      <c r="B180" s="431"/>
      <c r="C180" s="431"/>
      <c r="D180" s="431"/>
      <c r="E180" s="431"/>
      <c r="F180" s="431"/>
      <c r="G180" s="431"/>
      <c r="H180" s="431"/>
      <c r="I180" s="431"/>
      <c r="J180" s="431"/>
      <c r="K180" s="431"/>
      <c r="L180" s="431"/>
      <c r="M180" s="431"/>
    </row>
    <row r="181" spans="1:13" x14ac:dyDescent="0.35">
      <c r="A181" s="431"/>
      <c r="B181" s="431"/>
      <c r="C181" s="431"/>
      <c r="D181" s="431"/>
      <c r="E181" s="431"/>
      <c r="F181" s="431"/>
      <c r="G181" s="431"/>
      <c r="H181" s="431"/>
      <c r="I181" s="431"/>
      <c r="J181" s="431"/>
      <c r="K181" s="431"/>
      <c r="L181" s="431"/>
      <c r="M181" s="431"/>
    </row>
    <row r="182" spans="1:13" x14ac:dyDescent="0.35">
      <c r="A182" s="431"/>
      <c r="B182" s="431"/>
      <c r="C182" s="431"/>
      <c r="D182" s="431"/>
      <c r="E182" s="431"/>
      <c r="F182" s="431"/>
      <c r="G182" s="431"/>
      <c r="H182" s="431"/>
      <c r="I182" s="431"/>
      <c r="J182" s="431"/>
      <c r="K182" s="431"/>
      <c r="L182" s="431"/>
      <c r="M182" s="431"/>
    </row>
    <row r="183" spans="1:13" x14ac:dyDescent="0.35">
      <c r="A183" s="431"/>
      <c r="B183" s="431"/>
      <c r="C183" s="431"/>
      <c r="D183" s="431"/>
      <c r="E183" s="431"/>
      <c r="F183" s="431"/>
      <c r="G183" s="431"/>
      <c r="H183" s="431"/>
      <c r="I183" s="431"/>
      <c r="J183" s="431"/>
      <c r="K183" s="431"/>
      <c r="L183" s="431"/>
      <c r="M183" s="431"/>
    </row>
    <row r="184" spans="1:13" x14ac:dyDescent="0.35">
      <c r="A184" s="431"/>
      <c r="B184" s="431"/>
      <c r="C184" s="431"/>
      <c r="D184" s="431"/>
      <c r="E184" s="431"/>
      <c r="F184" s="431"/>
      <c r="G184" s="431"/>
      <c r="H184" s="431"/>
      <c r="I184" s="431"/>
      <c r="J184" s="431"/>
      <c r="K184" s="431"/>
      <c r="L184" s="431"/>
      <c r="M184" s="431"/>
    </row>
    <row r="185" spans="1:13" x14ac:dyDescent="0.35">
      <c r="A185" s="431"/>
      <c r="B185" s="431"/>
      <c r="C185" s="431"/>
      <c r="D185" s="431"/>
      <c r="E185" s="431"/>
      <c r="F185" s="431"/>
      <c r="G185" s="431"/>
      <c r="H185" s="431"/>
      <c r="I185" s="431"/>
      <c r="J185" s="431"/>
      <c r="K185" s="431"/>
      <c r="L185" s="431"/>
      <c r="M185" s="431"/>
    </row>
    <row r="186" spans="1:13" x14ac:dyDescent="0.35">
      <c r="A186" s="431"/>
      <c r="B186" s="431"/>
      <c r="C186" s="431"/>
      <c r="D186" s="431"/>
      <c r="E186" s="431"/>
      <c r="F186" s="431"/>
      <c r="G186" s="431"/>
      <c r="H186" s="431"/>
      <c r="I186" s="431"/>
      <c r="J186" s="431"/>
      <c r="K186" s="431"/>
      <c r="L186" s="431"/>
      <c r="M186" s="431"/>
    </row>
    <row r="187" spans="1:13" x14ac:dyDescent="0.35">
      <c r="A187" s="431"/>
      <c r="B187" s="431"/>
      <c r="C187" s="431"/>
      <c r="D187" s="431"/>
      <c r="E187" s="431"/>
      <c r="F187" s="431"/>
      <c r="G187" s="431"/>
      <c r="H187" s="431"/>
      <c r="I187" s="431"/>
      <c r="J187" s="431"/>
      <c r="K187" s="431"/>
      <c r="L187" s="431"/>
      <c r="M187" s="431"/>
    </row>
    <row r="188" spans="1:13" x14ac:dyDescent="0.35">
      <c r="A188" s="431"/>
      <c r="B188" s="431"/>
      <c r="C188" s="431"/>
      <c r="D188" s="431"/>
      <c r="E188" s="431"/>
      <c r="F188" s="431"/>
      <c r="G188" s="431"/>
      <c r="H188" s="431"/>
      <c r="I188" s="431"/>
      <c r="J188" s="431"/>
      <c r="K188" s="431"/>
      <c r="L188" s="431"/>
      <c r="M188" s="431"/>
    </row>
    <row r="189" spans="1:13" x14ac:dyDescent="0.35">
      <c r="A189" s="431"/>
      <c r="B189" s="431"/>
      <c r="C189" s="431"/>
      <c r="D189" s="431"/>
      <c r="E189" s="431"/>
      <c r="F189" s="431"/>
      <c r="G189" s="431"/>
      <c r="H189" s="431"/>
      <c r="I189" s="431"/>
      <c r="J189" s="431"/>
      <c r="K189" s="431"/>
      <c r="L189" s="431"/>
      <c r="M189" s="431"/>
    </row>
    <row r="190" spans="1:13" x14ac:dyDescent="0.35">
      <c r="A190" s="431"/>
      <c r="B190" s="431"/>
      <c r="C190" s="431"/>
      <c r="D190" s="431"/>
      <c r="E190" s="431"/>
      <c r="F190" s="431"/>
      <c r="G190" s="431"/>
      <c r="H190" s="431"/>
      <c r="I190" s="431"/>
      <c r="J190" s="431"/>
      <c r="K190" s="431"/>
      <c r="L190" s="431"/>
      <c r="M190" s="431"/>
    </row>
    <row r="191" spans="1:13" x14ac:dyDescent="0.35">
      <c r="A191" s="431"/>
      <c r="B191" s="431"/>
      <c r="C191" s="431"/>
      <c r="D191" s="431"/>
      <c r="E191" s="431"/>
      <c r="F191" s="431"/>
      <c r="G191" s="431"/>
      <c r="H191" s="431"/>
      <c r="I191" s="431"/>
      <c r="J191" s="431"/>
      <c r="K191" s="431"/>
      <c r="L191" s="431"/>
      <c r="M191" s="431"/>
    </row>
    <row r="192" spans="1:13" x14ac:dyDescent="0.35">
      <c r="A192" s="431"/>
      <c r="B192" s="431"/>
      <c r="C192" s="431"/>
      <c r="D192" s="431"/>
      <c r="E192" s="431"/>
      <c r="F192" s="431"/>
      <c r="G192" s="431"/>
      <c r="H192" s="431"/>
      <c r="I192" s="431"/>
      <c r="J192" s="431"/>
      <c r="K192" s="431"/>
      <c r="L192" s="431"/>
      <c r="M192" s="431"/>
    </row>
    <row r="193" spans="1:13" x14ac:dyDescent="0.35">
      <c r="A193" s="431"/>
      <c r="B193" s="431"/>
      <c r="C193" s="431"/>
      <c r="D193" s="431"/>
      <c r="E193" s="431"/>
      <c r="F193" s="431"/>
      <c r="G193" s="431"/>
      <c r="H193" s="431"/>
      <c r="I193" s="431"/>
      <c r="J193" s="431"/>
      <c r="K193" s="431"/>
      <c r="L193" s="431"/>
      <c r="M193" s="431"/>
    </row>
    <row r="194" spans="1:13" x14ac:dyDescent="0.35">
      <c r="A194" s="431"/>
      <c r="B194" s="431"/>
      <c r="C194" s="431"/>
      <c r="D194" s="431"/>
      <c r="E194" s="431"/>
      <c r="F194" s="431"/>
      <c r="G194" s="431"/>
      <c r="H194" s="431"/>
      <c r="I194" s="431"/>
      <c r="J194" s="431"/>
      <c r="K194" s="431"/>
      <c r="L194" s="431"/>
      <c r="M194" s="431"/>
    </row>
    <row r="195" spans="1:13" x14ac:dyDescent="0.35">
      <c r="A195" s="431"/>
      <c r="B195" s="431"/>
      <c r="C195" s="431"/>
      <c r="D195" s="431"/>
      <c r="E195" s="431"/>
      <c r="F195" s="431"/>
      <c r="G195" s="431"/>
      <c r="H195" s="431"/>
      <c r="I195" s="431"/>
      <c r="J195" s="431"/>
      <c r="K195" s="431"/>
      <c r="L195" s="431"/>
      <c r="M195" s="431"/>
    </row>
    <row r="196" spans="1:13" x14ac:dyDescent="0.35">
      <c r="A196" s="431"/>
      <c r="B196" s="431"/>
      <c r="C196" s="431"/>
      <c r="D196" s="431"/>
      <c r="E196" s="431"/>
      <c r="F196" s="431"/>
      <c r="G196" s="431"/>
      <c r="H196" s="431"/>
      <c r="I196" s="431"/>
      <c r="J196" s="431"/>
      <c r="K196" s="431"/>
      <c r="L196" s="431"/>
      <c r="M196" s="431"/>
    </row>
    <row r="197" spans="1:13" x14ac:dyDescent="0.35">
      <c r="A197" s="431"/>
      <c r="B197" s="431"/>
      <c r="C197" s="431"/>
      <c r="D197" s="431"/>
      <c r="E197" s="431"/>
      <c r="F197" s="431"/>
      <c r="G197" s="431"/>
      <c r="H197" s="431"/>
      <c r="I197" s="431"/>
      <c r="J197" s="431"/>
      <c r="K197" s="431"/>
      <c r="L197" s="431"/>
      <c r="M197" s="431"/>
    </row>
    <row r="198" spans="1:13" x14ac:dyDescent="0.35">
      <c r="A198" s="431"/>
      <c r="B198" s="431"/>
      <c r="C198" s="431"/>
      <c r="D198" s="431"/>
      <c r="E198" s="431"/>
      <c r="F198" s="431"/>
      <c r="G198" s="431"/>
      <c r="H198" s="431"/>
      <c r="I198" s="431"/>
      <c r="J198" s="431"/>
      <c r="K198" s="431"/>
      <c r="L198" s="431"/>
      <c r="M198" s="431"/>
    </row>
    <row r="199" spans="1:13" x14ac:dyDescent="0.35">
      <c r="A199" s="431"/>
      <c r="B199" s="431"/>
      <c r="C199" s="431"/>
      <c r="D199" s="431"/>
      <c r="E199" s="431"/>
      <c r="F199" s="431"/>
      <c r="G199" s="431"/>
      <c r="H199" s="431"/>
      <c r="I199" s="431"/>
      <c r="J199" s="431"/>
      <c r="K199" s="431"/>
      <c r="L199" s="431"/>
      <c r="M199" s="431"/>
    </row>
    <row r="200" spans="1:13" x14ac:dyDescent="0.35">
      <c r="A200" s="431"/>
      <c r="B200" s="431"/>
      <c r="C200" s="431"/>
      <c r="D200" s="431"/>
      <c r="E200" s="431"/>
      <c r="F200" s="431"/>
      <c r="G200" s="431"/>
      <c r="H200" s="431"/>
      <c r="I200" s="431"/>
      <c r="J200" s="431"/>
      <c r="K200" s="431"/>
      <c r="L200" s="431"/>
      <c r="M200" s="431"/>
    </row>
    <row r="201" spans="1:13" x14ac:dyDescent="0.35">
      <c r="A201" s="431"/>
      <c r="B201" s="431"/>
      <c r="C201" s="431"/>
      <c r="D201" s="431"/>
      <c r="E201" s="431"/>
      <c r="F201" s="431"/>
      <c r="G201" s="431"/>
      <c r="H201" s="431"/>
      <c r="I201" s="431"/>
      <c r="J201" s="431"/>
      <c r="K201" s="431"/>
      <c r="L201" s="431"/>
      <c r="M201" s="431"/>
    </row>
    <row r="202" spans="1:13" x14ac:dyDescent="0.35">
      <c r="A202" s="431"/>
      <c r="B202" s="431"/>
      <c r="C202" s="431"/>
      <c r="D202" s="431"/>
      <c r="E202" s="431"/>
      <c r="F202" s="431"/>
      <c r="G202" s="431"/>
      <c r="H202" s="431"/>
      <c r="I202" s="431"/>
      <c r="J202" s="431"/>
      <c r="K202" s="431"/>
      <c r="L202" s="431"/>
      <c r="M202" s="431"/>
    </row>
    <row r="203" spans="1:13" x14ac:dyDescent="0.35">
      <c r="A203" s="431"/>
      <c r="B203" s="431"/>
      <c r="C203" s="431"/>
      <c r="D203" s="431"/>
      <c r="E203" s="431"/>
      <c r="F203" s="431"/>
      <c r="G203" s="431"/>
      <c r="H203" s="431"/>
      <c r="I203" s="431"/>
      <c r="J203" s="431"/>
      <c r="K203" s="431"/>
      <c r="L203" s="431"/>
      <c r="M203" s="431"/>
    </row>
    <row r="204" spans="1:13" x14ac:dyDescent="0.35">
      <c r="A204" s="431"/>
      <c r="B204" s="431"/>
      <c r="C204" s="431"/>
      <c r="D204" s="431"/>
      <c r="E204" s="431"/>
      <c r="F204" s="431"/>
      <c r="G204" s="431"/>
      <c r="H204" s="431"/>
      <c r="I204" s="431"/>
      <c r="J204" s="431"/>
      <c r="K204" s="431"/>
      <c r="L204" s="431"/>
      <c r="M204" s="431"/>
    </row>
    <row r="205" spans="1:13" x14ac:dyDescent="0.35">
      <c r="A205" s="431"/>
      <c r="B205" s="431"/>
      <c r="C205" s="431"/>
      <c r="D205" s="431"/>
      <c r="E205" s="431"/>
      <c r="F205" s="431"/>
      <c r="G205" s="431"/>
      <c r="H205" s="431"/>
      <c r="I205" s="431"/>
      <c r="J205" s="431"/>
      <c r="K205" s="431"/>
      <c r="L205" s="431"/>
      <c r="M205" s="431"/>
    </row>
    <row r="206" spans="1:13" x14ac:dyDescent="0.35">
      <c r="A206" s="431"/>
      <c r="B206" s="431"/>
      <c r="C206" s="431"/>
      <c r="D206" s="431"/>
      <c r="E206" s="431"/>
      <c r="F206" s="431"/>
      <c r="G206" s="431"/>
      <c r="H206" s="431"/>
      <c r="I206" s="431"/>
      <c r="J206" s="431"/>
      <c r="K206" s="431"/>
      <c r="L206" s="431"/>
      <c r="M206" s="431"/>
    </row>
    <row r="207" spans="1:13" x14ac:dyDescent="0.35">
      <c r="A207" s="431"/>
      <c r="B207" s="431"/>
      <c r="C207" s="431"/>
      <c r="D207" s="431"/>
      <c r="E207" s="431"/>
      <c r="F207" s="431"/>
      <c r="G207" s="431"/>
      <c r="H207" s="431"/>
      <c r="I207" s="431"/>
      <c r="J207" s="431"/>
      <c r="K207" s="431"/>
      <c r="L207" s="431"/>
      <c r="M207" s="431"/>
    </row>
    <row r="208" spans="1:13" x14ac:dyDescent="0.35">
      <c r="A208" s="431"/>
      <c r="B208" s="431"/>
      <c r="C208" s="431"/>
      <c r="D208" s="431"/>
      <c r="E208" s="431"/>
      <c r="F208" s="431"/>
      <c r="G208" s="431"/>
      <c r="H208" s="431"/>
      <c r="I208" s="431"/>
      <c r="J208" s="431"/>
      <c r="K208" s="431"/>
      <c r="L208" s="431"/>
      <c r="M208" s="431"/>
    </row>
    <row r="209" spans="1:13" x14ac:dyDescent="0.35">
      <c r="A209" s="431"/>
      <c r="B209" s="431"/>
      <c r="C209" s="431"/>
      <c r="D209" s="431"/>
      <c r="E209" s="431"/>
      <c r="F209" s="431"/>
      <c r="G209" s="431"/>
      <c r="H209" s="431"/>
      <c r="I209" s="431"/>
      <c r="J209" s="431"/>
      <c r="K209" s="431"/>
      <c r="L209" s="431"/>
      <c r="M209" s="431"/>
    </row>
    <row r="210" spans="1:13" x14ac:dyDescent="0.35">
      <c r="A210" s="431"/>
      <c r="B210" s="431"/>
      <c r="C210" s="431"/>
      <c r="D210" s="431"/>
      <c r="E210" s="431"/>
      <c r="F210" s="431"/>
      <c r="G210" s="431"/>
      <c r="H210" s="431"/>
      <c r="I210" s="431"/>
      <c r="J210" s="431"/>
      <c r="K210" s="431"/>
      <c r="L210" s="431"/>
      <c r="M210" s="431"/>
    </row>
    <row r="211" spans="1:13" x14ac:dyDescent="0.35">
      <c r="A211" s="431"/>
      <c r="B211" s="431"/>
      <c r="C211" s="431"/>
      <c r="D211" s="431"/>
      <c r="E211" s="431"/>
      <c r="F211" s="431"/>
      <c r="G211" s="431"/>
      <c r="H211" s="431"/>
      <c r="I211" s="431"/>
      <c r="J211" s="431"/>
      <c r="K211" s="431"/>
      <c r="L211" s="431"/>
      <c r="M211" s="431"/>
    </row>
    <row r="212" spans="1:13" x14ac:dyDescent="0.35">
      <c r="A212" s="431"/>
      <c r="B212" s="431"/>
      <c r="C212" s="431"/>
      <c r="D212" s="431"/>
      <c r="E212" s="431"/>
      <c r="F212" s="431"/>
      <c r="G212" s="431"/>
      <c r="H212" s="431"/>
      <c r="I212" s="431"/>
      <c r="J212" s="431"/>
      <c r="K212" s="431"/>
      <c r="L212" s="431"/>
      <c r="M212" s="431"/>
    </row>
    <row r="213" spans="1:13" x14ac:dyDescent="0.35">
      <c r="A213" s="431"/>
      <c r="B213" s="431"/>
      <c r="C213" s="431"/>
      <c r="D213" s="431"/>
      <c r="E213" s="431"/>
      <c r="F213" s="431"/>
      <c r="G213" s="431"/>
      <c r="H213" s="431"/>
      <c r="I213" s="431"/>
      <c r="J213" s="431"/>
      <c r="K213" s="431"/>
      <c r="L213" s="431"/>
      <c r="M213" s="431"/>
    </row>
    <row r="214" spans="1:13" x14ac:dyDescent="0.35">
      <c r="A214" s="431"/>
      <c r="B214" s="431"/>
      <c r="C214" s="431"/>
      <c r="D214" s="431"/>
      <c r="E214" s="431"/>
      <c r="F214" s="431"/>
      <c r="G214" s="431"/>
      <c r="H214" s="431"/>
      <c r="I214" s="431"/>
      <c r="J214" s="431"/>
      <c r="K214" s="431"/>
      <c r="L214" s="431"/>
      <c r="M214" s="431"/>
    </row>
    <row r="215" spans="1:13" x14ac:dyDescent="0.35">
      <c r="A215" s="431"/>
      <c r="B215" s="431"/>
      <c r="C215" s="431"/>
      <c r="D215" s="431"/>
      <c r="E215" s="431"/>
      <c r="F215" s="431"/>
      <c r="G215" s="431"/>
      <c r="H215" s="431"/>
      <c r="I215" s="431"/>
      <c r="J215" s="431"/>
      <c r="K215" s="431"/>
      <c r="L215" s="431"/>
      <c r="M215" s="431"/>
    </row>
    <row r="216" spans="1:13" x14ac:dyDescent="0.35">
      <c r="A216" s="431"/>
      <c r="B216" s="431"/>
      <c r="C216" s="431"/>
      <c r="D216" s="431"/>
      <c r="E216" s="431"/>
      <c r="F216" s="431"/>
      <c r="G216" s="431"/>
      <c r="H216" s="431"/>
      <c r="I216" s="431"/>
      <c r="J216" s="431"/>
      <c r="K216" s="431"/>
      <c r="L216" s="431"/>
      <c r="M216" s="431"/>
    </row>
    <row r="217" spans="1:13" x14ac:dyDescent="0.35">
      <c r="A217" s="431"/>
      <c r="B217" s="431"/>
      <c r="C217" s="431"/>
      <c r="D217" s="431"/>
      <c r="E217" s="431"/>
      <c r="F217" s="431"/>
      <c r="G217" s="431"/>
      <c r="H217" s="431"/>
      <c r="I217" s="431"/>
      <c r="J217" s="431"/>
      <c r="K217" s="431"/>
      <c r="L217" s="431"/>
      <c r="M217" s="431"/>
    </row>
    <row r="218" spans="1:13" x14ac:dyDescent="0.35">
      <c r="A218" s="431"/>
      <c r="B218" s="431"/>
      <c r="C218" s="431"/>
      <c r="D218" s="431"/>
      <c r="E218" s="431"/>
      <c r="F218" s="431"/>
      <c r="G218" s="431"/>
      <c r="H218" s="431"/>
      <c r="I218" s="431"/>
      <c r="J218" s="431"/>
      <c r="K218" s="431"/>
      <c r="L218" s="431"/>
      <c r="M218" s="431"/>
    </row>
    <row r="219" spans="1:13" x14ac:dyDescent="0.35">
      <c r="A219" s="431"/>
      <c r="B219" s="431"/>
      <c r="C219" s="431"/>
      <c r="D219" s="431"/>
      <c r="E219" s="431"/>
      <c r="F219" s="431"/>
      <c r="G219" s="431"/>
      <c r="H219" s="431"/>
      <c r="I219" s="431"/>
      <c r="J219" s="431"/>
      <c r="K219" s="431"/>
      <c r="L219" s="431"/>
      <c r="M219" s="431"/>
    </row>
    <row r="220" spans="1:13" x14ac:dyDescent="0.35">
      <c r="A220" s="431"/>
      <c r="B220" s="431"/>
      <c r="C220" s="431"/>
      <c r="D220" s="431"/>
      <c r="E220" s="431"/>
      <c r="F220" s="431"/>
      <c r="G220" s="431"/>
      <c r="H220" s="431"/>
      <c r="I220" s="431"/>
      <c r="J220" s="431"/>
      <c r="K220" s="431"/>
      <c r="L220" s="431"/>
      <c r="M220" s="431"/>
    </row>
    <row r="221" spans="1:13" x14ac:dyDescent="0.35">
      <c r="A221" s="431"/>
      <c r="B221" s="431"/>
      <c r="C221" s="431"/>
      <c r="D221" s="431"/>
      <c r="E221" s="431"/>
      <c r="F221" s="431"/>
      <c r="G221" s="431"/>
      <c r="H221" s="431"/>
      <c r="I221" s="431"/>
      <c r="J221" s="431"/>
      <c r="K221" s="431"/>
      <c r="L221" s="431"/>
      <c r="M221" s="431"/>
    </row>
    <row r="222" spans="1:13" x14ac:dyDescent="0.35">
      <c r="A222" s="431"/>
      <c r="B222" s="431"/>
      <c r="C222" s="431"/>
      <c r="D222" s="431"/>
      <c r="E222" s="431"/>
      <c r="F222" s="431"/>
      <c r="G222" s="431"/>
      <c r="H222" s="431"/>
      <c r="I222" s="431"/>
      <c r="J222" s="431"/>
      <c r="K222" s="431"/>
      <c r="L222" s="431"/>
      <c r="M222" s="431"/>
    </row>
    <row r="223" spans="1:13" x14ac:dyDescent="0.35">
      <c r="A223" s="431"/>
      <c r="B223" s="431"/>
      <c r="C223" s="431"/>
      <c r="D223" s="431"/>
      <c r="E223" s="431"/>
      <c r="F223" s="431"/>
      <c r="G223" s="431"/>
      <c r="H223" s="431"/>
      <c r="I223" s="431"/>
      <c r="J223" s="431"/>
      <c r="K223" s="431"/>
      <c r="L223" s="431"/>
      <c r="M223" s="431"/>
    </row>
    <row r="224" spans="1:13" x14ac:dyDescent="0.35">
      <c r="A224" s="431"/>
      <c r="B224" s="431"/>
      <c r="C224" s="431"/>
      <c r="D224" s="431"/>
      <c r="E224" s="431"/>
      <c r="F224" s="431"/>
      <c r="G224" s="431"/>
      <c r="H224" s="431"/>
      <c r="I224" s="431"/>
      <c r="J224" s="431"/>
      <c r="K224" s="431"/>
      <c r="L224" s="431"/>
      <c r="M224" s="431"/>
    </row>
    <row r="225" spans="1:13" x14ac:dyDescent="0.35">
      <c r="A225" s="431"/>
      <c r="B225" s="431"/>
      <c r="C225" s="431"/>
      <c r="D225" s="431"/>
      <c r="E225" s="431"/>
      <c r="F225" s="431"/>
      <c r="G225" s="431"/>
      <c r="H225" s="431"/>
      <c r="I225" s="431"/>
      <c r="J225" s="431"/>
      <c r="K225" s="431"/>
      <c r="L225" s="431"/>
      <c r="M225" s="431"/>
    </row>
    <row r="226" spans="1:13" x14ac:dyDescent="0.35">
      <c r="A226" s="431"/>
      <c r="B226" s="431"/>
      <c r="C226" s="431"/>
      <c r="D226" s="431"/>
      <c r="E226" s="431"/>
      <c r="F226" s="431"/>
      <c r="G226" s="431"/>
      <c r="H226" s="431"/>
      <c r="I226" s="431"/>
      <c r="J226" s="431"/>
      <c r="K226" s="431"/>
      <c r="L226" s="431"/>
      <c r="M226" s="431"/>
    </row>
    <row r="227" spans="1:13" x14ac:dyDescent="0.35">
      <c r="A227" s="431"/>
      <c r="B227" s="431"/>
      <c r="C227" s="431"/>
      <c r="D227" s="431"/>
      <c r="E227" s="431"/>
      <c r="F227" s="431"/>
      <c r="G227" s="431"/>
      <c r="H227" s="431"/>
      <c r="I227" s="431"/>
      <c r="J227" s="431"/>
      <c r="K227" s="431"/>
      <c r="L227" s="431"/>
      <c r="M227" s="431"/>
    </row>
    <row r="228" spans="1:13" x14ac:dyDescent="0.35">
      <c r="A228" s="431"/>
      <c r="B228" s="431"/>
      <c r="C228" s="431"/>
      <c r="D228" s="431"/>
      <c r="E228" s="431"/>
      <c r="F228" s="431"/>
      <c r="G228" s="431"/>
      <c r="H228" s="431"/>
      <c r="I228" s="431"/>
      <c r="J228" s="431"/>
      <c r="K228" s="431"/>
      <c r="L228" s="431"/>
      <c r="M228" s="431"/>
    </row>
    <row r="229" spans="1:13" x14ac:dyDescent="0.35">
      <c r="A229" s="431"/>
      <c r="B229" s="431"/>
      <c r="C229" s="431"/>
      <c r="D229" s="431"/>
      <c r="E229" s="431"/>
      <c r="F229" s="431"/>
      <c r="G229" s="431"/>
      <c r="H229" s="431"/>
      <c r="I229" s="431"/>
      <c r="J229" s="431"/>
      <c r="K229" s="431"/>
      <c r="L229" s="431"/>
      <c r="M229" s="431"/>
    </row>
    <row r="230" spans="1:13" x14ac:dyDescent="0.35">
      <c r="A230" s="431"/>
      <c r="B230" s="431"/>
      <c r="C230" s="431"/>
      <c r="D230" s="431"/>
      <c r="E230" s="431"/>
      <c r="F230" s="431"/>
      <c r="G230" s="431"/>
      <c r="H230" s="431"/>
      <c r="I230" s="431"/>
      <c r="J230" s="431"/>
      <c r="K230" s="431"/>
      <c r="L230" s="431"/>
      <c r="M230" s="431"/>
    </row>
    <row r="231" spans="1:13" x14ac:dyDescent="0.35">
      <c r="A231" s="431"/>
      <c r="B231" s="431"/>
      <c r="C231" s="431"/>
      <c r="D231" s="431"/>
      <c r="E231" s="431"/>
      <c r="F231" s="431"/>
      <c r="G231" s="431"/>
      <c r="H231" s="431"/>
      <c r="I231" s="431"/>
      <c r="J231" s="431"/>
      <c r="K231" s="431"/>
      <c r="L231" s="431"/>
      <c r="M231" s="431"/>
    </row>
    <row r="232" spans="1:13" x14ac:dyDescent="0.35">
      <c r="A232" s="431"/>
      <c r="B232" s="431"/>
      <c r="C232" s="431"/>
      <c r="D232" s="431"/>
      <c r="E232" s="431"/>
      <c r="F232" s="431"/>
      <c r="G232" s="431"/>
      <c r="H232" s="431"/>
      <c r="I232" s="431"/>
      <c r="J232" s="431"/>
      <c r="K232" s="431"/>
      <c r="L232" s="431"/>
      <c r="M232" s="431"/>
    </row>
    <row r="233" spans="1:13" x14ac:dyDescent="0.35">
      <c r="A233" s="431"/>
      <c r="B233" s="431"/>
      <c r="C233" s="431"/>
      <c r="D233" s="431"/>
      <c r="E233" s="431"/>
      <c r="F233" s="431"/>
      <c r="G233" s="431"/>
      <c r="H233" s="431"/>
      <c r="I233" s="431"/>
      <c r="J233" s="431"/>
      <c r="K233" s="431"/>
      <c r="L233" s="431"/>
      <c r="M233" s="431"/>
    </row>
    <row r="234" spans="1:13" x14ac:dyDescent="0.35">
      <c r="A234" s="431"/>
      <c r="B234" s="431"/>
      <c r="C234" s="431"/>
      <c r="D234" s="431"/>
      <c r="E234" s="431"/>
      <c r="F234" s="431"/>
      <c r="G234" s="431"/>
      <c r="H234" s="431"/>
      <c r="I234" s="431"/>
      <c r="J234" s="431"/>
      <c r="K234" s="431"/>
      <c r="L234" s="431"/>
      <c r="M234" s="431"/>
    </row>
    <row r="235" spans="1:13" x14ac:dyDescent="0.35">
      <c r="A235" s="431"/>
      <c r="B235" s="431"/>
      <c r="C235" s="431"/>
      <c r="D235" s="431"/>
      <c r="E235" s="431"/>
      <c r="F235" s="431"/>
      <c r="G235" s="431"/>
      <c r="H235" s="431"/>
      <c r="I235" s="431"/>
      <c r="J235" s="431"/>
      <c r="K235" s="431"/>
      <c r="L235" s="431"/>
      <c r="M235" s="431"/>
    </row>
    <row r="236" spans="1:13" x14ac:dyDescent="0.35">
      <c r="A236" s="431"/>
      <c r="B236" s="431"/>
      <c r="C236" s="431"/>
      <c r="D236" s="431"/>
      <c r="E236" s="431"/>
      <c r="F236" s="431"/>
      <c r="G236" s="431"/>
      <c r="H236" s="431"/>
      <c r="I236" s="431"/>
      <c r="J236" s="431"/>
      <c r="K236" s="431"/>
      <c r="L236" s="431"/>
      <c r="M236" s="431"/>
    </row>
    <row r="237" spans="1:13" x14ac:dyDescent="0.35">
      <c r="A237" s="431"/>
      <c r="B237" s="431"/>
      <c r="C237" s="431"/>
      <c r="D237" s="431"/>
      <c r="E237" s="431"/>
      <c r="F237" s="431"/>
      <c r="G237" s="431"/>
      <c r="H237" s="431"/>
      <c r="I237" s="431"/>
      <c r="J237" s="431"/>
      <c r="K237" s="431"/>
      <c r="L237" s="431"/>
      <c r="M237" s="431"/>
    </row>
    <row r="238" spans="1:13" x14ac:dyDescent="0.35">
      <c r="A238" s="431"/>
      <c r="B238" s="431"/>
      <c r="C238" s="431"/>
      <c r="D238" s="431"/>
      <c r="E238" s="431"/>
      <c r="F238" s="431"/>
      <c r="G238" s="431"/>
      <c r="H238" s="431"/>
      <c r="I238" s="431"/>
      <c r="J238" s="431"/>
      <c r="K238" s="431"/>
      <c r="L238" s="431"/>
      <c r="M238" s="431"/>
    </row>
    <row r="239" spans="1:13" x14ac:dyDescent="0.35">
      <c r="A239" s="431"/>
      <c r="B239" s="431"/>
      <c r="C239" s="431"/>
      <c r="D239" s="431"/>
      <c r="E239" s="431"/>
      <c r="F239" s="431"/>
      <c r="G239" s="431"/>
      <c r="H239" s="431"/>
      <c r="I239" s="431"/>
      <c r="J239" s="431"/>
      <c r="K239" s="431"/>
      <c r="L239" s="431"/>
      <c r="M239" s="431"/>
    </row>
    <row r="240" spans="1:13" x14ac:dyDescent="0.35">
      <c r="A240" s="431"/>
      <c r="B240" s="431"/>
      <c r="C240" s="431"/>
      <c r="D240" s="431"/>
      <c r="E240" s="431"/>
      <c r="F240" s="431"/>
      <c r="G240" s="431"/>
      <c r="H240" s="431"/>
      <c r="I240" s="431"/>
      <c r="J240" s="431"/>
      <c r="K240" s="431"/>
      <c r="L240" s="431"/>
      <c r="M240" s="431"/>
    </row>
    <row r="241" spans="1:13" x14ac:dyDescent="0.35">
      <c r="A241" s="431"/>
      <c r="B241" s="431"/>
      <c r="C241" s="431"/>
      <c r="D241" s="431"/>
      <c r="E241" s="431"/>
      <c r="F241" s="431"/>
      <c r="G241" s="431"/>
      <c r="H241" s="431"/>
      <c r="I241" s="431"/>
      <c r="J241" s="431"/>
      <c r="K241" s="431"/>
      <c r="L241" s="431"/>
      <c r="M241" s="431"/>
    </row>
    <row r="242" spans="1:13" x14ac:dyDescent="0.35">
      <c r="A242" s="431"/>
      <c r="B242" s="431"/>
      <c r="C242" s="431"/>
      <c r="D242" s="431"/>
      <c r="E242" s="431"/>
      <c r="F242" s="431"/>
      <c r="G242" s="431"/>
      <c r="H242" s="431"/>
      <c r="I242" s="431"/>
      <c r="J242" s="431"/>
      <c r="K242" s="431"/>
      <c r="L242" s="431"/>
      <c r="M242" s="431"/>
    </row>
    <row r="243" spans="1:13" x14ac:dyDescent="0.35">
      <c r="A243" s="431"/>
      <c r="B243" s="431"/>
      <c r="C243" s="431"/>
      <c r="D243" s="431"/>
      <c r="E243" s="431"/>
      <c r="F243" s="431"/>
      <c r="G243" s="431"/>
      <c r="H243" s="431"/>
      <c r="I243" s="431"/>
      <c r="J243" s="431"/>
      <c r="K243" s="431"/>
      <c r="L243" s="431"/>
      <c r="M243" s="431"/>
    </row>
    <row r="244" spans="1:13" x14ac:dyDescent="0.35">
      <c r="A244" s="431"/>
      <c r="B244" s="431"/>
      <c r="C244" s="431"/>
      <c r="D244" s="431"/>
      <c r="E244" s="431"/>
      <c r="F244" s="431"/>
      <c r="G244" s="431"/>
      <c r="H244" s="431"/>
      <c r="I244" s="431"/>
      <c r="J244" s="431"/>
      <c r="K244" s="431"/>
      <c r="L244" s="431"/>
      <c r="M244" s="431"/>
    </row>
    <row r="245" spans="1:13" x14ac:dyDescent="0.35">
      <c r="A245" s="431"/>
      <c r="B245" s="431"/>
      <c r="C245" s="431"/>
      <c r="D245" s="431"/>
      <c r="E245" s="431"/>
      <c r="F245" s="431"/>
      <c r="G245" s="431"/>
      <c r="H245" s="431"/>
      <c r="I245" s="431"/>
      <c r="J245" s="431"/>
      <c r="K245" s="431"/>
      <c r="L245" s="431"/>
      <c r="M245" s="431"/>
    </row>
    <row r="246" spans="1:13" x14ac:dyDescent="0.35">
      <c r="A246" s="431"/>
      <c r="B246" s="431"/>
      <c r="C246" s="431"/>
      <c r="D246" s="431"/>
      <c r="E246" s="431"/>
      <c r="F246" s="431"/>
      <c r="G246" s="431"/>
      <c r="H246" s="431"/>
      <c r="I246" s="431"/>
      <c r="J246" s="431"/>
      <c r="K246" s="431"/>
      <c r="L246" s="431"/>
      <c r="M246" s="431"/>
    </row>
    <row r="247" spans="1:13" x14ac:dyDescent="0.35">
      <c r="A247" s="431"/>
      <c r="B247" s="431"/>
      <c r="C247" s="431"/>
      <c r="D247" s="431"/>
      <c r="E247" s="431"/>
      <c r="F247" s="431"/>
      <c r="G247" s="431"/>
      <c r="H247" s="431"/>
      <c r="I247" s="431"/>
      <c r="J247" s="431"/>
      <c r="K247" s="431"/>
      <c r="L247" s="431"/>
      <c r="M247" s="431"/>
    </row>
    <row r="248" spans="1:13" x14ac:dyDescent="0.35">
      <c r="A248" s="431"/>
      <c r="B248" s="431"/>
      <c r="C248" s="431"/>
      <c r="D248" s="431"/>
      <c r="E248" s="431"/>
      <c r="F248" s="431"/>
      <c r="G248" s="431"/>
      <c r="H248" s="431"/>
      <c r="I248" s="431"/>
      <c r="J248" s="431"/>
      <c r="K248" s="431"/>
      <c r="L248" s="431"/>
      <c r="M248" s="431"/>
    </row>
    <row r="249" spans="1:13" x14ac:dyDescent="0.35">
      <c r="A249" s="431"/>
      <c r="B249" s="431"/>
      <c r="C249" s="431"/>
      <c r="D249" s="431"/>
      <c r="E249" s="431"/>
      <c r="F249" s="431"/>
      <c r="G249" s="431"/>
      <c r="H249" s="431"/>
      <c r="I249" s="431"/>
      <c r="J249" s="431"/>
      <c r="K249" s="431"/>
      <c r="L249" s="431"/>
      <c r="M249" s="431"/>
    </row>
    <row r="250" spans="1:13" x14ac:dyDescent="0.35">
      <c r="A250" s="431"/>
      <c r="B250" s="431"/>
      <c r="C250" s="431"/>
      <c r="D250" s="431"/>
      <c r="E250" s="431"/>
      <c r="F250" s="431"/>
      <c r="G250" s="431"/>
      <c r="H250" s="431"/>
      <c r="I250" s="431"/>
      <c r="J250" s="431"/>
      <c r="K250" s="431"/>
      <c r="L250" s="431"/>
      <c r="M250" s="431"/>
    </row>
    <row r="251" spans="1:13" x14ac:dyDescent="0.35">
      <c r="A251" s="431"/>
      <c r="B251" s="431"/>
      <c r="C251" s="431"/>
      <c r="D251" s="431"/>
      <c r="E251" s="431"/>
      <c r="F251" s="431"/>
      <c r="G251" s="431"/>
      <c r="H251" s="431"/>
      <c r="I251" s="431"/>
      <c r="J251" s="431"/>
      <c r="K251" s="431"/>
      <c r="L251" s="431"/>
      <c r="M251" s="431"/>
    </row>
    <row r="252" spans="1:13" x14ac:dyDescent="0.35">
      <c r="A252" s="431"/>
      <c r="B252" s="431"/>
      <c r="C252" s="431"/>
      <c r="D252" s="431"/>
      <c r="E252" s="431"/>
      <c r="F252" s="431"/>
      <c r="G252" s="431"/>
      <c r="H252" s="431"/>
      <c r="I252" s="431"/>
      <c r="J252" s="431"/>
      <c r="K252" s="431"/>
      <c r="L252" s="431"/>
      <c r="M252" s="431"/>
    </row>
    <row r="253" spans="1:13" x14ac:dyDescent="0.35">
      <c r="A253" s="431"/>
      <c r="B253" s="431"/>
      <c r="C253" s="431"/>
      <c r="D253" s="431"/>
      <c r="E253" s="431"/>
      <c r="F253" s="431"/>
      <c r="G253" s="431"/>
      <c r="H253" s="431"/>
      <c r="I253" s="431"/>
      <c r="J253" s="431"/>
      <c r="K253" s="431"/>
      <c r="L253" s="431"/>
      <c r="M253" s="431"/>
    </row>
    <row r="254" spans="1:13" x14ac:dyDescent="0.35">
      <c r="A254" s="431"/>
      <c r="B254" s="431"/>
      <c r="C254" s="431"/>
      <c r="D254" s="431"/>
      <c r="E254" s="431"/>
      <c r="F254" s="431"/>
      <c r="G254" s="431"/>
      <c r="H254" s="431"/>
      <c r="I254" s="431"/>
      <c r="J254" s="431"/>
      <c r="K254" s="431"/>
      <c r="L254" s="431"/>
      <c r="M254" s="431"/>
    </row>
    <row r="255" spans="1:13" x14ac:dyDescent="0.35">
      <c r="A255" s="431"/>
      <c r="B255" s="431"/>
      <c r="C255" s="431"/>
      <c r="D255" s="431"/>
      <c r="E255" s="431"/>
      <c r="F255" s="431"/>
      <c r="G255" s="431"/>
      <c r="H255" s="431"/>
      <c r="I255" s="431"/>
      <c r="J255" s="431"/>
      <c r="K255" s="431"/>
      <c r="L255" s="431"/>
      <c r="M255" s="431"/>
    </row>
    <row r="256" spans="1:13" x14ac:dyDescent="0.35">
      <c r="A256" s="431"/>
      <c r="B256" s="431"/>
      <c r="C256" s="431"/>
      <c r="D256" s="431"/>
      <c r="E256" s="431"/>
      <c r="F256" s="431"/>
      <c r="G256" s="431"/>
      <c r="H256" s="431"/>
      <c r="I256" s="431"/>
      <c r="J256" s="431"/>
      <c r="K256" s="431"/>
      <c r="L256" s="431"/>
      <c r="M256" s="431"/>
    </row>
    <row r="257" spans="1:13" x14ac:dyDescent="0.35">
      <c r="A257" s="431"/>
      <c r="B257" s="431"/>
      <c r="C257" s="431"/>
      <c r="D257" s="431"/>
      <c r="E257" s="431"/>
      <c r="F257" s="431"/>
      <c r="G257" s="431"/>
      <c r="H257" s="431"/>
      <c r="I257" s="431"/>
      <c r="J257" s="431"/>
      <c r="K257" s="431"/>
      <c r="L257" s="431"/>
      <c r="M257" s="431"/>
    </row>
    <row r="258" spans="1:13" x14ac:dyDescent="0.35">
      <c r="A258" s="431"/>
      <c r="B258" s="431"/>
      <c r="C258" s="431"/>
      <c r="D258" s="431"/>
      <c r="E258" s="431"/>
      <c r="F258" s="431"/>
      <c r="G258" s="431"/>
      <c r="H258" s="431"/>
      <c r="I258" s="431"/>
      <c r="J258" s="431"/>
      <c r="K258" s="431"/>
      <c r="L258" s="431"/>
      <c r="M258" s="431"/>
    </row>
    <row r="259" spans="1:13" x14ac:dyDescent="0.35">
      <c r="A259" s="431"/>
      <c r="B259" s="431"/>
      <c r="C259" s="431"/>
      <c r="D259" s="431"/>
      <c r="E259" s="431"/>
      <c r="F259" s="431"/>
      <c r="G259" s="431"/>
      <c r="H259" s="431"/>
      <c r="I259" s="431"/>
      <c r="J259" s="431"/>
      <c r="K259" s="431"/>
      <c r="L259" s="431"/>
      <c r="M259" s="431"/>
    </row>
    <row r="260" spans="1:13" x14ac:dyDescent="0.35">
      <c r="A260" s="431"/>
      <c r="B260" s="431"/>
      <c r="C260" s="431"/>
      <c r="D260" s="431"/>
      <c r="E260" s="431"/>
      <c r="F260" s="431"/>
      <c r="G260" s="431"/>
      <c r="H260" s="431"/>
      <c r="I260" s="431"/>
      <c r="J260" s="431"/>
      <c r="K260" s="431"/>
      <c r="L260" s="431"/>
      <c r="M260" s="431"/>
    </row>
    <row r="261" spans="1:13" x14ac:dyDescent="0.35">
      <c r="A261" s="431"/>
      <c r="B261" s="431"/>
      <c r="C261" s="431"/>
      <c r="D261" s="431"/>
      <c r="E261" s="431"/>
      <c r="F261" s="431"/>
      <c r="G261" s="431"/>
      <c r="H261" s="431"/>
      <c r="I261" s="431"/>
      <c r="J261" s="431"/>
      <c r="K261" s="431"/>
      <c r="L261" s="431"/>
      <c r="M261" s="431"/>
    </row>
    <row r="262" spans="1:13" x14ac:dyDescent="0.35">
      <c r="A262" s="431"/>
      <c r="B262" s="431"/>
      <c r="C262" s="431"/>
      <c r="D262" s="431"/>
      <c r="E262" s="431"/>
      <c r="F262" s="431"/>
      <c r="G262" s="431"/>
      <c r="H262" s="431"/>
      <c r="I262" s="431"/>
      <c r="J262" s="431"/>
      <c r="K262" s="431"/>
      <c r="L262" s="431"/>
      <c r="M262" s="431"/>
    </row>
    <row r="263" spans="1:13" x14ac:dyDescent="0.35">
      <c r="A263" s="431"/>
      <c r="B263" s="431"/>
      <c r="C263" s="431"/>
      <c r="D263" s="431"/>
      <c r="E263" s="431"/>
      <c r="F263" s="431"/>
      <c r="G263" s="431"/>
      <c r="H263" s="431"/>
      <c r="I263" s="431"/>
      <c r="J263" s="431"/>
      <c r="K263" s="431"/>
      <c r="L263" s="431"/>
      <c r="M263" s="431"/>
    </row>
    <row r="264" spans="1:13" x14ac:dyDescent="0.35">
      <c r="A264" s="431"/>
      <c r="B264" s="431"/>
      <c r="C264" s="431"/>
      <c r="D264" s="431"/>
      <c r="E264" s="431"/>
      <c r="F264" s="431"/>
      <c r="G264" s="431"/>
      <c r="H264" s="431"/>
      <c r="I264" s="431"/>
      <c r="J264" s="431"/>
      <c r="K264" s="431"/>
      <c r="L264" s="431"/>
      <c r="M264" s="431"/>
    </row>
  </sheetData>
  <pageMargins left="0.7" right="0.7" top="0.75" bottom="0.75" header="0.3" footer="0.3"/>
  <pageSetup scale="48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3205-4288-4CAC-BCBB-99E88E11A1A3}">
  <dimension ref="A1:G252"/>
  <sheetViews>
    <sheetView zoomScaleNormal="100" zoomScaleSheetLayoutView="110" workbookViewId="0">
      <selection activeCell="F38" sqref="F38"/>
    </sheetView>
  </sheetViews>
  <sheetFormatPr defaultRowHeight="14.5" x14ac:dyDescent="0.35"/>
  <cols>
    <col min="1" max="1" width="41.81640625" customWidth="1"/>
    <col min="2" max="2" width="3.26953125" customWidth="1"/>
    <col min="3" max="3" width="7.26953125" style="432" customWidth="1"/>
    <col min="4" max="7" width="7.26953125" customWidth="1"/>
    <col min="13" max="13" width="11.453125" customWidth="1"/>
    <col min="14" max="14" width="13.26953125" customWidth="1"/>
  </cols>
  <sheetData>
    <row r="1" spans="1:7" x14ac:dyDescent="0.35">
      <c r="A1" s="507" t="s">
        <v>320</v>
      </c>
      <c r="B1" s="508"/>
    </row>
    <row r="2" spans="1:7" x14ac:dyDescent="0.35">
      <c r="A2" s="508" t="s">
        <v>282</v>
      </c>
      <c r="B2" s="508"/>
    </row>
    <row r="3" spans="1:7" x14ac:dyDescent="0.3">
      <c r="A3" s="491"/>
      <c r="B3" s="491"/>
      <c r="C3" s="453" t="s">
        <v>347</v>
      </c>
      <c r="D3" s="453" t="s">
        <v>369</v>
      </c>
      <c r="E3" s="453" t="s">
        <v>348</v>
      </c>
      <c r="F3" s="453" t="s">
        <v>349</v>
      </c>
      <c r="G3" s="453" t="s">
        <v>362</v>
      </c>
    </row>
    <row r="4" spans="1:7" ht="13" x14ac:dyDescent="0.3">
      <c r="A4" s="509" t="s">
        <v>285</v>
      </c>
      <c r="B4" s="491"/>
      <c r="C4" s="456"/>
      <c r="D4" s="456"/>
      <c r="E4" s="491"/>
      <c r="F4" s="491"/>
      <c r="G4" s="491"/>
    </row>
    <row r="5" spans="1:7" ht="13" x14ac:dyDescent="0.3">
      <c r="A5" s="491" t="s">
        <v>286</v>
      </c>
      <c r="B5" s="491"/>
      <c r="C5" s="457">
        <v>-28.2</v>
      </c>
      <c r="D5" s="510">
        <v>0</v>
      </c>
      <c r="E5" s="457">
        <f>-5.4-5.3</f>
        <v>-10.7</v>
      </c>
      <c r="F5" s="457">
        <v>-30.9</v>
      </c>
      <c r="G5" s="492">
        <v>-29.1</v>
      </c>
    </row>
    <row r="6" spans="1:7" ht="13" x14ac:dyDescent="0.3">
      <c r="A6" s="491" t="s">
        <v>291</v>
      </c>
      <c r="B6" s="491"/>
      <c r="C6" s="462">
        <v>0</v>
      </c>
      <c r="D6" s="462">
        <v>0</v>
      </c>
      <c r="E6" s="460">
        <v>443.7</v>
      </c>
      <c r="F6" s="460">
        <v>676</v>
      </c>
      <c r="G6" s="493">
        <v>0</v>
      </c>
    </row>
    <row r="7" spans="1:7" ht="13" x14ac:dyDescent="0.3">
      <c r="A7" s="491" t="s">
        <v>297</v>
      </c>
      <c r="B7" s="491"/>
      <c r="C7" s="462">
        <v>0</v>
      </c>
      <c r="D7" s="462">
        <v>0</v>
      </c>
      <c r="E7" s="460">
        <v>0</v>
      </c>
      <c r="F7" s="460">
        <v>49.8</v>
      </c>
      <c r="G7" s="493">
        <v>36.200000000000003</v>
      </c>
    </row>
    <row r="8" spans="1:7" ht="13" x14ac:dyDescent="0.3">
      <c r="A8" s="491" t="s">
        <v>370</v>
      </c>
      <c r="B8" s="491"/>
      <c r="C8" s="511">
        <v>0</v>
      </c>
      <c r="D8" s="511">
        <v>0</v>
      </c>
      <c r="E8" s="511">
        <v>-8.9</v>
      </c>
      <c r="F8" s="511">
        <v>-2.2000000000000002</v>
      </c>
      <c r="G8" s="494">
        <v>-34.700000000000003</v>
      </c>
    </row>
    <row r="9" spans="1:7" ht="13" x14ac:dyDescent="0.3">
      <c r="A9" s="491" t="s">
        <v>313</v>
      </c>
      <c r="B9" s="491"/>
      <c r="C9" s="511">
        <v>0</v>
      </c>
      <c r="D9" s="511">
        <v>0</v>
      </c>
      <c r="E9" s="511">
        <v>0</v>
      </c>
      <c r="F9" s="511">
        <v>3.7</v>
      </c>
      <c r="G9" s="494">
        <v>0</v>
      </c>
    </row>
    <row r="10" spans="1:7" ht="13" x14ac:dyDescent="0.3">
      <c r="A10" s="491" t="s">
        <v>363</v>
      </c>
      <c r="B10" s="491"/>
      <c r="C10" s="511">
        <v>0</v>
      </c>
      <c r="D10" s="511">
        <v>0</v>
      </c>
      <c r="E10" s="511">
        <v>0</v>
      </c>
      <c r="F10" s="511">
        <v>0</v>
      </c>
      <c r="G10" s="494">
        <v>-90.9</v>
      </c>
    </row>
    <row r="11" spans="1:7" ht="13" x14ac:dyDescent="0.3">
      <c r="A11" s="491" t="s">
        <v>364</v>
      </c>
      <c r="B11" s="491"/>
      <c r="C11" s="511">
        <v>0</v>
      </c>
      <c r="D11" s="511">
        <v>0</v>
      </c>
      <c r="E11" s="511">
        <v>0</v>
      </c>
      <c r="F11" s="511">
        <v>0</v>
      </c>
      <c r="G11" s="494">
        <v>22</v>
      </c>
    </row>
    <row r="12" spans="1:7" ht="13" x14ac:dyDescent="0.3">
      <c r="A12" s="491" t="s">
        <v>365</v>
      </c>
      <c r="B12" s="491"/>
      <c r="C12" s="512">
        <v>0</v>
      </c>
      <c r="D12" s="512">
        <v>0</v>
      </c>
      <c r="E12" s="512">
        <v>0</v>
      </c>
      <c r="F12" s="512">
        <v>0</v>
      </c>
      <c r="G12" s="495">
        <v>3.4</v>
      </c>
    </row>
    <row r="13" spans="1:7" ht="13" x14ac:dyDescent="0.3">
      <c r="A13" s="507" t="s">
        <v>299</v>
      </c>
      <c r="B13" s="491"/>
      <c r="C13" s="496">
        <f>SUM(C5:C12)</f>
        <v>-28.2</v>
      </c>
      <c r="D13" s="496">
        <f>SUM(D5:D12)</f>
        <v>0</v>
      </c>
      <c r="E13" s="496">
        <f>SUM(E5:E12)</f>
        <v>424.1</v>
      </c>
      <c r="F13" s="496">
        <f>SUM(F5:F12)</f>
        <v>696.4</v>
      </c>
      <c r="G13" s="496">
        <f>SUM(G5:G12)</f>
        <v>-93.1</v>
      </c>
    </row>
    <row r="14" spans="1:7" ht="13" x14ac:dyDescent="0.3">
      <c r="A14" s="491" t="s">
        <v>300</v>
      </c>
      <c r="B14" s="491"/>
      <c r="C14" s="462">
        <v>6.9</v>
      </c>
      <c r="D14" s="462">
        <v>0</v>
      </c>
      <c r="E14" s="497">
        <v>-98.1</v>
      </c>
      <c r="F14" s="497">
        <v>-46.1</v>
      </c>
      <c r="G14" s="497">
        <v>1.3</v>
      </c>
    </row>
    <row r="15" spans="1:7" ht="13" x14ac:dyDescent="0.3">
      <c r="A15" s="491" t="s">
        <v>301</v>
      </c>
      <c r="B15" s="491"/>
      <c r="C15" s="462">
        <v>0</v>
      </c>
      <c r="D15" s="462">
        <v>0</v>
      </c>
      <c r="E15" s="497">
        <v>0</v>
      </c>
      <c r="F15" s="497">
        <v>5.4</v>
      </c>
      <c r="G15" s="497">
        <v>2.2999999999999998</v>
      </c>
    </row>
    <row r="16" spans="1:7" ht="13.5" thickBot="1" x14ac:dyDescent="0.35">
      <c r="A16" s="507" t="s">
        <v>302</v>
      </c>
      <c r="B16" s="491"/>
      <c r="C16" s="466">
        <f>SUM(C13:C15)</f>
        <v>-21.299999999999997</v>
      </c>
      <c r="D16" s="466">
        <f>SUM(D13:D15)</f>
        <v>0</v>
      </c>
      <c r="E16" s="498">
        <f>SUM(E13:E15)</f>
        <v>326</v>
      </c>
      <c r="F16" s="498">
        <f>SUM(F13:F15)</f>
        <v>655.69999999999993</v>
      </c>
      <c r="G16" s="498">
        <f>SUM(G13:G15)</f>
        <v>-89.5</v>
      </c>
    </row>
    <row r="17" spans="1:7" ht="13.5" thickTop="1" x14ac:dyDescent="0.3">
      <c r="A17" s="507"/>
      <c r="B17" s="491"/>
      <c r="C17" s="457"/>
      <c r="D17" s="457"/>
      <c r="E17" s="491"/>
      <c r="F17" s="491"/>
      <c r="G17" s="491"/>
    </row>
    <row r="18" spans="1:7" ht="13" x14ac:dyDescent="0.3">
      <c r="A18" s="491" t="s">
        <v>303</v>
      </c>
      <c r="B18" s="491"/>
      <c r="C18" s="467">
        <v>136.69999999999999</v>
      </c>
      <c r="D18" s="467">
        <v>136.5</v>
      </c>
      <c r="E18" s="499">
        <v>136.30000000000001</v>
      </c>
      <c r="F18" s="499">
        <v>137.30000000000001</v>
      </c>
      <c r="G18" s="499">
        <v>139.69999999999999</v>
      </c>
    </row>
    <row r="19" spans="1:7" ht="13" x14ac:dyDescent="0.3">
      <c r="A19" s="507" t="s">
        <v>304</v>
      </c>
      <c r="B19" s="491"/>
      <c r="C19" s="468">
        <f t="shared" ref="C19:G19" si="0">+C16/C18</f>
        <v>-0.15581565471836137</v>
      </c>
      <c r="D19" s="468">
        <f t="shared" si="0"/>
        <v>0</v>
      </c>
      <c r="E19" s="468">
        <f t="shared" si="0"/>
        <v>2.391782831988261</v>
      </c>
      <c r="F19" s="468">
        <f t="shared" si="0"/>
        <v>4.7756737072104869</v>
      </c>
      <c r="G19" s="468">
        <f t="shared" si="0"/>
        <v>-0.64065855404438088</v>
      </c>
    </row>
    <row r="20" spans="1:7" x14ac:dyDescent="0.35">
      <c r="A20" s="513"/>
      <c r="B20" s="508"/>
    </row>
    <row r="21" spans="1:7" x14ac:dyDescent="0.35">
      <c r="A21" s="508"/>
      <c r="B21" s="508"/>
    </row>
    <row r="22" spans="1:7" s="471" customFormat="1" ht="12" x14ac:dyDescent="0.25">
      <c r="A22" s="471" t="s">
        <v>350</v>
      </c>
    </row>
    <row r="23" spans="1:7" s="490" customFormat="1" ht="12" x14ac:dyDescent="0.25">
      <c r="A23" s="471" t="s">
        <v>371</v>
      </c>
      <c r="C23" s="471"/>
    </row>
    <row r="24" spans="1:7" s="490" customFormat="1" ht="10.5" x14ac:dyDescent="0.25">
      <c r="A24" s="473" t="s">
        <v>372</v>
      </c>
      <c r="C24" s="471"/>
    </row>
    <row r="25" spans="1:7" s="490" customFormat="1" ht="12" x14ac:dyDescent="0.25">
      <c r="A25" s="471" t="s">
        <v>351</v>
      </c>
      <c r="C25" s="471"/>
    </row>
    <row r="26" spans="1:7" s="490" customFormat="1" ht="10.5" x14ac:dyDescent="0.25">
      <c r="A26" s="471" t="s">
        <v>373</v>
      </c>
      <c r="C26" s="471"/>
    </row>
    <row r="27" spans="1:7" s="490" customFormat="1" ht="10.5" x14ac:dyDescent="0.25">
      <c r="A27" s="471" t="s">
        <v>315</v>
      </c>
      <c r="C27" s="471"/>
    </row>
    <row r="28" spans="1:7" s="490" customFormat="1" ht="10.5" x14ac:dyDescent="0.25">
      <c r="A28" s="471" t="s">
        <v>316</v>
      </c>
      <c r="C28" s="471"/>
    </row>
    <row r="29" spans="1:7" s="490" customFormat="1" ht="10.5" x14ac:dyDescent="0.25">
      <c r="A29" s="471" t="s">
        <v>315</v>
      </c>
      <c r="C29" s="471"/>
    </row>
    <row r="30" spans="1:7" s="490" customFormat="1" ht="10.5" x14ac:dyDescent="0.25">
      <c r="A30" s="471" t="s">
        <v>317</v>
      </c>
      <c r="C30" s="471"/>
    </row>
    <row r="31" spans="1:7" s="490" customFormat="1" ht="10.5" x14ac:dyDescent="0.25">
      <c r="A31" s="471" t="s">
        <v>318</v>
      </c>
      <c r="C31" s="471"/>
    </row>
    <row r="32" spans="1:7" s="490" customFormat="1" ht="12" x14ac:dyDescent="0.25">
      <c r="A32" s="471" t="s">
        <v>367</v>
      </c>
      <c r="C32" s="471"/>
    </row>
    <row r="33" spans="1:3" s="490" customFormat="1" ht="10.5" x14ac:dyDescent="0.25">
      <c r="A33" s="471" t="s">
        <v>376</v>
      </c>
      <c r="C33" s="471"/>
    </row>
    <row r="34" spans="1:3" s="490" customFormat="1" ht="10.5" x14ac:dyDescent="0.25">
      <c r="A34" s="471" t="s">
        <v>374</v>
      </c>
      <c r="C34" s="471"/>
    </row>
    <row r="35" spans="1:3" s="490" customFormat="1" ht="10.5" x14ac:dyDescent="0.25">
      <c r="A35" s="490" t="s">
        <v>368</v>
      </c>
      <c r="C35" s="471"/>
    </row>
    <row r="36" spans="1:3" s="490" customFormat="1" ht="10.5" x14ac:dyDescent="0.25">
      <c r="A36" s="471" t="s">
        <v>375</v>
      </c>
      <c r="C36" s="471"/>
    </row>
    <row r="37" spans="1:3" s="490" customFormat="1" ht="4.9000000000000004" customHeight="1" x14ac:dyDescent="0.25">
      <c r="A37" s="473"/>
      <c r="C37" s="471"/>
    </row>
    <row r="38" spans="1:3" x14ac:dyDescent="0.35">
      <c r="A38" s="508"/>
      <c r="B38" s="508"/>
    </row>
    <row r="39" spans="1:3" x14ac:dyDescent="0.35">
      <c r="A39" s="508"/>
      <c r="B39" s="508"/>
    </row>
    <row r="40" spans="1:3" x14ac:dyDescent="0.35">
      <c r="A40" s="508"/>
      <c r="B40" s="508"/>
    </row>
    <row r="41" spans="1:3" x14ac:dyDescent="0.35">
      <c r="A41" s="508"/>
      <c r="B41" s="508"/>
    </row>
    <row r="42" spans="1:3" x14ac:dyDescent="0.35">
      <c r="A42" s="508"/>
      <c r="B42" s="508"/>
    </row>
    <row r="43" spans="1:3" x14ac:dyDescent="0.35">
      <c r="A43" s="508"/>
      <c r="B43" s="508"/>
    </row>
    <row r="44" spans="1:3" x14ac:dyDescent="0.35">
      <c r="A44" s="508"/>
      <c r="B44" s="508"/>
    </row>
    <row r="45" spans="1:3" x14ac:dyDescent="0.35">
      <c r="A45" s="508"/>
      <c r="B45" s="508"/>
    </row>
    <row r="46" spans="1:3" x14ac:dyDescent="0.35">
      <c r="A46" s="508"/>
      <c r="B46" s="508"/>
    </row>
    <row r="47" spans="1:3" x14ac:dyDescent="0.35">
      <c r="A47" s="508"/>
      <c r="B47" s="508"/>
    </row>
    <row r="48" spans="1:3" x14ac:dyDescent="0.35">
      <c r="A48" s="508"/>
      <c r="B48" s="508"/>
    </row>
    <row r="49" spans="1:2" x14ac:dyDescent="0.35">
      <c r="A49" s="508"/>
      <c r="B49" s="508"/>
    </row>
    <row r="50" spans="1:2" x14ac:dyDescent="0.35">
      <c r="A50" s="508"/>
      <c r="B50" s="508"/>
    </row>
    <row r="51" spans="1:2" x14ac:dyDescent="0.35">
      <c r="A51" s="508"/>
      <c r="B51" s="508"/>
    </row>
    <row r="52" spans="1:2" x14ac:dyDescent="0.35">
      <c r="A52" s="508"/>
      <c r="B52" s="508"/>
    </row>
    <row r="53" spans="1:2" x14ac:dyDescent="0.35">
      <c r="A53" s="508"/>
      <c r="B53" s="508"/>
    </row>
    <row r="54" spans="1:2" x14ac:dyDescent="0.35">
      <c r="A54" s="508"/>
      <c r="B54" s="508"/>
    </row>
    <row r="55" spans="1:2" x14ac:dyDescent="0.35">
      <c r="A55" s="508"/>
      <c r="B55" s="508"/>
    </row>
    <row r="56" spans="1:2" x14ac:dyDescent="0.35">
      <c r="A56" s="508"/>
      <c r="B56" s="508"/>
    </row>
    <row r="57" spans="1:2" x14ac:dyDescent="0.35">
      <c r="A57" s="508"/>
      <c r="B57" s="508"/>
    </row>
    <row r="58" spans="1:2" x14ac:dyDescent="0.35">
      <c r="A58" s="508"/>
      <c r="B58" s="508"/>
    </row>
    <row r="59" spans="1:2" x14ac:dyDescent="0.35">
      <c r="A59" s="508"/>
      <c r="B59" s="508"/>
    </row>
    <row r="60" spans="1:2" x14ac:dyDescent="0.35">
      <c r="A60" s="508"/>
      <c r="B60" s="508"/>
    </row>
    <row r="61" spans="1:2" x14ac:dyDescent="0.35">
      <c r="A61" s="508"/>
      <c r="B61" s="508"/>
    </row>
    <row r="62" spans="1:2" x14ac:dyDescent="0.35">
      <c r="A62" s="508"/>
      <c r="B62" s="508"/>
    </row>
    <row r="63" spans="1:2" x14ac:dyDescent="0.35">
      <c r="A63" s="508"/>
      <c r="B63" s="508"/>
    </row>
    <row r="64" spans="1:2" x14ac:dyDescent="0.35">
      <c r="A64" s="508"/>
      <c r="B64" s="508"/>
    </row>
    <row r="65" spans="1:2" x14ac:dyDescent="0.35">
      <c r="A65" s="508"/>
      <c r="B65" s="508"/>
    </row>
    <row r="66" spans="1:2" x14ac:dyDescent="0.35">
      <c r="A66" s="508"/>
      <c r="B66" s="508"/>
    </row>
    <row r="67" spans="1:2" x14ac:dyDescent="0.35">
      <c r="A67" s="508"/>
      <c r="B67" s="508"/>
    </row>
    <row r="68" spans="1:2" x14ac:dyDescent="0.35">
      <c r="A68" s="508"/>
      <c r="B68" s="508"/>
    </row>
    <row r="69" spans="1:2" x14ac:dyDescent="0.35">
      <c r="A69" s="508"/>
      <c r="B69" s="508"/>
    </row>
    <row r="70" spans="1:2" x14ac:dyDescent="0.35">
      <c r="A70" s="508"/>
      <c r="B70" s="508"/>
    </row>
    <row r="71" spans="1:2" x14ac:dyDescent="0.35">
      <c r="A71" s="508"/>
      <c r="B71" s="508"/>
    </row>
    <row r="72" spans="1:2" x14ac:dyDescent="0.35">
      <c r="A72" s="508"/>
      <c r="B72" s="508"/>
    </row>
    <row r="73" spans="1:2" x14ac:dyDescent="0.35">
      <c r="A73" s="508"/>
      <c r="B73" s="508"/>
    </row>
    <row r="74" spans="1:2" x14ac:dyDescent="0.35">
      <c r="A74" s="508"/>
      <c r="B74" s="508"/>
    </row>
    <row r="75" spans="1:2" x14ac:dyDescent="0.35">
      <c r="A75" s="508"/>
      <c r="B75" s="508"/>
    </row>
    <row r="76" spans="1:2" x14ac:dyDescent="0.35">
      <c r="A76" s="508"/>
      <c r="B76" s="508"/>
    </row>
    <row r="77" spans="1:2" x14ac:dyDescent="0.35">
      <c r="A77" s="508"/>
      <c r="B77" s="508"/>
    </row>
    <row r="78" spans="1:2" x14ac:dyDescent="0.35">
      <c r="A78" s="508"/>
      <c r="B78" s="508"/>
    </row>
    <row r="79" spans="1:2" x14ac:dyDescent="0.35">
      <c r="A79" s="508"/>
      <c r="B79" s="508"/>
    </row>
    <row r="80" spans="1:2" x14ac:dyDescent="0.35">
      <c r="A80" s="508"/>
      <c r="B80" s="508"/>
    </row>
    <row r="81" spans="1:2" x14ac:dyDescent="0.35">
      <c r="A81" s="508"/>
      <c r="B81" s="508"/>
    </row>
    <row r="82" spans="1:2" x14ac:dyDescent="0.35">
      <c r="A82" s="508"/>
      <c r="B82" s="508"/>
    </row>
    <row r="83" spans="1:2" x14ac:dyDescent="0.35">
      <c r="A83" s="508"/>
      <c r="B83" s="508"/>
    </row>
    <row r="84" spans="1:2" x14ac:dyDescent="0.35">
      <c r="A84" s="508"/>
      <c r="B84" s="508"/>
    </row>
    <row r="85" spans="1:2" x14ac:dyDescent="0.35">
      <c r="A85" s="508"/>
      <c r="B85" s="508"/>
    </row>
    <row r="86" spans="1:2" x14ac:dyDescent="0.35">
      <c r="A86" s="508"/>
      <c r="B86" s="508"/>
    </row>
    <row r="87" spans="1:2" x14ac:dyDescent="0.35">
      <c r="A87" s="508"/>
      <c r="B87" s="508"/>
    </row>
    <row r="88" spans="1:2" x14ac:dyDescent="0.35">
      <c r="A88" s="508"/>
      <c r="B88" s="508"/>
    </row>
    <row r="89" spans="1:2" x14ac:dyDescent="0.35">
      <c r="A89" s="508"/>
      <c r="B89" s="508"/>
    </row>
    <row r="90" spans="1:2" x14ac:dyDescent="0.35">
      <c r="A90" s="508"/>
      <c r="B90" s="508"/>
    </row>
    <row r="91" spans="1:2" x14ac:dyDescent="0.35">
      <c r="A91" s="508"/>
      <c r="B91" s="508"/>
    </row>
    <row r="92" spans="1:2" x14ac:dyDescent="0.35">
      <c r="A92" s="508"/>
      <c r="B92" s="508"/>
    </row>
    <row r="93" spans="1:2" x14ac:dyDescent="0.35">
      <c r="A93" s="508"/>
      <c r="B93" s="508"/>
    </row>
    <row r="94" spans="1:2" x14ac:dyDescent="0.35">
      <c r="A94" s="508"/>
      <c r="B94" s="508"/>
    </row>
    <row r="95" spans="1:2" x14ac:dyDescent="0.35">
      <c r="A95" s="508"/>
      <c r="B95" s="508"/>
    </row>
    <row r="96" spans="1:2" x14ac:dyDescent="0.35">
      <c r="A96" s="508"/>
      <c r="B96" s="508"/>
    </row>
    <row r="97" spans="1:2" x14ac:dyDescent="0.35">
      <c r="A97" s="508"/>
      <c r="B97" s="508"/>
    </row>
    <row r="98" spans="1:2" x14ac:dyDescent="0.35">
      <c r="A98" s="508"/>
      <c r="B98" s="508"/>
    </row>
    <row r="99" spans="1:2" x14ac:dyDescent="0.35">
      <c r="A99" s="508"/>
      <c r="B99" s="508"/>
    </row>
    <row r="100" spans="1:2" x14ac:dyDescent="0.35">
      <c r="A100" s="508"/>
      <c r="B100" s="508"/>
    </row>
    <row r="101" spans="1:2" x14ac:dyDescent="0.35">
      <c r="A101" s="508"/>
      <c r="B101" s="508"/>
    </row>
    <row r="102" spans="1:2" x14ac:dyDescent="0.35">
      <c r="A102" s="508"/>
      <c r="B102" s="508"/>
    </row>
    <row r="103" spans="1:2" x14ac:dyDescent="0.35">
      <c r="A103" s="508"/>
      <c r="B103" s="508"/>
    </row>
    <row r="104" spans="1:2" x14ac:dyDescent="0.35">
      <c r="A104" s="508"/>
      <c r="B104" s="508"/>
    </row>
    <row r="105" spans="1:2" x14ac:dyDescent="0.35">
      <c r="A105" s="508"/>
      <c r="B105" s="508"/>
    </row>
    <row r="106" spans="1:2" x14ac:dyDescent="0.35">
      <c r="A106" s="508"/>
      <c r="B106" s="508"/>
    </row>
    <row r="107" spans="1:2" x14ac:dyDescent="0.35">
      <c r="A107" s="508"/>
      <c r="B107" s="508"/>
    </row>
    <row r="108" spans="1:2" x14ac:dyDescent="0.35">
      <c r="A108" s="508"/>
      <c r="B108" s="508"/>
    </row>
    <row r="109" spans="1:2" x14ac:dyDescent="0.35">
      <c r="A109" s="508"/>
      <c r="B109" s="508"/>
    </row>
    <row r="110" spans="1:2" x14ac:dyDescent="0.35">
      <c r="A110" s="508"/>
      <c r="B110" s="508"/>
    </row>
    <row r="111" spans="1:2" x14ac:dyDescent="0.35">
      <c r="A111" s="508"/>
      <c r="B111" s="508"/>
    </row>
    <row r="112" spans="1:2" x14ac:dyDescent="0.35">
      <c r="A112" s="508"/>
      <c r="B112" s="508"/>
    </row>
    <row r="113" spans="1:2" x14ac:dyDescent="0.35">
      <c r="A113" s="508"/>
      <c r="B113" s="508"/>
    </row>
    <row r="114" spans="1:2" x14ac:dyDescent="0.35">
      <c r="A114" s="508"/>
      <c r="B114" s="508"/>
    </row>
    <row r="115" spans="1:2" x14ac:dyDescent="0.35">
      <c r="A115" s="508"/>
      <c r="B115" s="508"/>
    </row>
    <row r="116" spans="1:2" x14ac:dyDescent="0.35">
      <c r="A116" s="508"/>
      <c r="B116" s="508"/>
    </row>
    <row r="117" spans="1:2" x14ac:dyDescent="0.35">
      <c r="A117" s="508"/>
      <c r="B117" s="508"/>
    </row>
    <row r="118" spans="1:2" x14ac:dyDescent="0.35">
      <c r="A118" s="508"/>
      <c r="B118" s="508"/>
    </row>
    <row r="119" spans="1:2" x14ac:dyDescent="0.35">
      <c r="A119" s="508"/>
      <c r="B119" s="508"/>
    </row>
    <row r="120" spans="1:2" x14ac:dyDescent="0.35">
      <c r="A120" s="508"/>
      <c r="B120" s="508"/>
    </row>
    <row r="121" spans="1:2" x14ac:dyDescent="0.35">
      <c r="A121" s="508"/>
      <c r="B121" s="508"/>
    </row>
    <row r="122" spans="1:2" x14ac:dyDescent="0.35">
      <c r="A122" s="508"/>
      <c r="B122" s="508"/>
    </row>
    <row r="123" spans="1:2" x14ac:dyDescent="0.35">
      <c r="A123" s="508"/>
      <c r="B123" s="508"/>
    </row>
    <row r="124" spans="1:2" x14ac:dyDescent="0.35">
      <c r="A124" s="508"/>
      <c r="B124" s="508"/>
    </row>
    <row r="125" spans="1:2" x14ac:dyDescent="0.35">
      <c r="A125" s="508"/>
      <c r="B125" s="508"/>
    </row>
    <row r="126" spans="1:2" x14ac:dyDescent="0.35">
      <c r="A126" s="508"/>
      <c r="B126" s="508"/>
    </row>
    <row r="127" spans="1:2" x14ac:dyDescent="0.35">
      <c r="A127" s="508"/>
      <c r="B127" s="508"/>
    </row>
    <row r="128" spans="1:2" x14ac:dyDescent="0.35">
      <c r="A128" s="508"/>
      <c r="B128" s="508"/>
    </row>
    <row r="129" spans="1:2" x14ac:dyDescent="0.35">
      <c r="A129" s="508"/>
      <c r="B129" s="508"/>
    </row>
    <row r="130" spans="1:2" x14ac:dyDescent="0.35">
      <c r="A130" s="508"/>
      <c r="B130" s="508"/>
    </row>
    <row r="131" spans="1:2" x14ac:dyDescent="0.35">
      <c r="A131" s="508"/>
      <c r="B131" s="508"/>
    </row>
    <row r="132" spans="1:2" x14ac:dyDescent="0.35">
      <c r="A132" s="508"/>
      <c r="B132" s="508"/>
    </row>
    <row r="133" spans="1:2" x14ac:dyDescent="0.35">
      <c r="A133" s="508"/>
      <c r="B133" s="508"/>
    </row>
    <row r="134" spans="1:2" x14ac:dyDescent="0.35">
      <c r="A134" s="508"/>
      <c r="B134" s="508"/>
    </row>
    <row r="135" spans="1:2" x14ac:dyDescent="0.35">
      <c r="A135" s="508"/>
      <c r="B135" s="508"/>
    </row>
    <row r="136" spans="1:2" x14ac:dyDescent="0.35">
      <c r="A136" s="508"/>
      <c r="B136" s="508"/>
    </row>
    <row r="137" spans="1:2" x14ac:dyDescent="0.35">
      <c r="A137" s="508"/>
      <c r="B137" s="508"/>
    </row>
    <row r="138" spans="1:2" x14ac:dyDescent="0.35">
      <c r="A138" s="508"/>
      <c r="B138" s="508"/>
    </row>
    <row r="139" spans="1:2" x14ac:dyDescent="0.35">
      <c r="A139" s="508"/>
      <c r="B139" s="508"/>
    </row>
    <row r="140" spans="1:2" x14ac:dyDescent="0.35">
      <c r="A140" s="508"/>
      <c r="B140" s="508"/>
    </row>
    <row r="141" spans="1:2" x14ac:dyDescent="0.35">
      <c r="A141" s="508"/>
      <c r="B141" s="508"/>
    </row>
    <row r="142" spans="1:2" x14ac:dyDescent="0.35">
      <c r="A142" s="508"/>
      <c r="B142" s="508"/>
    </row>
    <row r="143" spans="1:2" x14ac:dyDescent="0.35">
      <c r="A143" s="508"/>
      <c r="B143" s="508"/>
    </row>
    <row r="144" spans="1:2" x14ac:dyDescent="0.35">
      <c r="A144" s="508"/>
      <c r="B144" s="508"/>
    </row>
    <row r="145" spans="1:2" x14ac:dyDescent="0.35">
      <c r="A145" s="508"/>
      <c r="B145" s="508"/>
    </row>
    <row r="146" spans="1:2" x14ac:dyDescent="0.35">
      <c r="A146" s="508"/>
      <c r="B146" s="508"/>
    </row>
    <row r="147" spans="1:2" x14ac:dyDescent="0.35">
      <c r="A147" s="508"/>
      <c r="B147" s="508"/>
    </row>
    <row r="148" spans="1:2" x14ac:dyDescent="0.35">
      <c r="A148" s="508"/>
      <c r="B148" s="508"/>
    </row>
    <row r="149" spans="1:2" x14ac:dyDescent="0.35">
      <c r="A149" s="508"/>
      <c r="B149" s="508"/>
    </row>
    <row r="150" spans="1:2" x14ac:dyDescent="0.35">
      <c r="A150" s="508"/>
      <c r="B150" s="508"/>
    </row>
    <row r="151" spans="1:2" x14ac:dyDescent="0.35">
      <c r="A151" s="508"/>
      <c r="B151" s="508"/>
    </row>
    <row r="152" spans="1:2" x14ac:dyDescent="0.35">
      <c r="A152" s="508"/>
      <c r="B152" s="508"/>
    </row>
    <row r="153" spans="1:2" x14ac:dyDescent="0.35">
      <c r="A153" s="508"/>
      <c r="B153" s="508"/>
    </row>
    <row r="154" spans="1:2" x14ac:dyDescent="0.35">
      <c r="A154" s="508"/>
      <c r="B154" s="508"/>
    </row>
    <row r="155" spans="1:2" x14ac:dyDescent="0.35">
      <c r="A155" s="508"/>
      <c r="B155" s="508"/>
    </row>
    <row r="156" spans="1:2" x14ac:dyDescent="0.35">
      <c r="A156" s="508"/>
      <c r="B156" s="508"/>
    </row>
    <row r="157" spans="1:2" x14ac:dyDescent="0.35">
      <c r="A157" s="508"/>
      <c r="B157" s="508"/>
    </row>
    <row r="158" spans="1:2" x14ac:dyDescent="0.35">
      <c r="A158" s="508"/>
      <c r="B158" s="508"/>
    </row>
    <row r="159" spans="1:2" x14ac:dyDescent="0.35">
      <c r="A159" s="508"/>
      <c r="B159" s="508"/>
    </row>
    <row r="160" spans="1:2" x14ac:dyDescent="0.35">
      <c r="A160" s="508"/>
      <c r="B160" s="508"/>
    </row>
    <row r="161" spans="1:2" x14ac:dyDescent="0.35">
      <c r="A161" s="508"/>
      <c r="B161" s="508"/>
    </row>
    <row r="162" spans="1:2" x14ac:dyDescent="0.35">
      <c r="A162" s="508"/>
      <c r="B162" s="508"/>
    </row>
    <row r="163" spans="1:2" x14ac:dyDescent="0.35">
      <c r="A163" s="508"/>
      <c r="B163" s="508"/>
    </row>
    <row r="164" spans="1:2" x14ac:dyDescent="0.35">
      <c r="A164" s="508"/>
      <c r="B164" s="508"/>
    </row>
    <row r="165" spans="1:2" x14ac:dyDescent="0.35">
      <c r="A165" s="508"/>
      <c r="B165" s="508"/>
    </row>
    <row r="166" spans="1:2" x14ac:dyDescent="0.35">
      <c r="A166" s="508"/>
      <c r="B166" s="508"/>
    </row>
    <row r="167" spans="1:2" x14ac:dyDescent="0.35">
      <c r="A167" s="508"/>
      <c r="B167" s="508"/>
    </row>
    <row r="168" spans="1:2" x14ac:dyDescent="0.35">
      <c r="A168" s="508"/>
      <c r="B168" s="508"/>
    </row>
    <row r="169" spans="1:2" x14ac:dyDescent="0.35">
      <c r="A169" s="508"/>
      <c r="B169" s="508"/>
    </row>
    <row r="170" spans="1:2" x14ac:dyDescent="0.35">
      <c r="A170" s="508"/>
      <c r="B170" s="508"/>
    </row>
    <row r="171" spans="1:2" x14ac:dyDescent="0.35">
      <c r="A171" s="508"/>
      <c r="B171" s="508"/>
    </row>
    <row r="172" spans="1:2" x14ac:dyDescent="0.35">
      <c r="A172" s="508"/>
      <c r="B172" s="508"/>
    </row>
    <row r="173" spans="1:2" x14ac:dyDescent="0.35">
      <c r="A173" s="508"/>
      <c r="B173" s="508"/>
    </row>
    <row r="174" spans="1:2" x14ac:dyDescent="0.35">
      <c r="A174" s="508"/>
      <c r="B174" s="508"/>
    </row>
    <row r="175" spans="1:2" x14ac:dyDescent="0.35">
      <c r="A175" s="508"/>
      <c r="B175" s="508"/>
    </row>
    <row r="176" spans="1:2" x14ac:dyDescent="0.35">
      <c r="A176" s="508"/>
      <c r="B176" s="508"/>
    </row>
    <row r="177" spans="1:2" x14ac:dyDescent="0.35">
      <c r="A177" s="508"/>
      <c r="B177" s="508"/>
    </row>
    <row r="178" spans="1:2" x14ac:dyDescent="0.35">
      <c r="A178" s="508"/>
      <c r="B178" s="508"/>
    </row>
    <row r="179" spans="1:2" x14ac:dyDescent="0.35">
      <c r="A179" s="508"/>
      <c r="B179" s="508"/>
    </row>
    <row r="180" spans="1:2" x14ac:dyDescent="0.35">
      <c r="A180" s="508"/>
      <c r="B180" s="508"/>
    </row>
    <row r="181" spans="1:2" x14ac:dyDescent="0.35">
      <c r="A181" s="508"/>
      <c r="B181" s="508"/>
    </row>
    <row r="182" spans="1:2" x14ac:dyDescent="0.35">
      <c r="A182" s="508"/>
      <c r="B182" s="508"/>
    </row>
    <row r="183" spans="1:2" x14ac:dyDescent="0.35">
      <c r="A183" s="508"/>
      <c r="B183" s="508"/>
    </row>
    <row r="184" spans="1:2" x14ac:dyDescent="0.35">
      <c r="A184" s="508"/>
      <c r="B184" s="508"/>
    </row>
    <row r="185" spans="1:2" x14ac:dyDescent="0.35">
      <c r="A185" s="508"/>
      <c r="B185" s="508"/>
    </row>
    <row r="186" spans="1:2" x14ac:dyDescent="0.35">
      <c r="A186" s="508"/>
      <c r="B186" s="508"/>
    </row>
    <row r="187" spans="1:2" x14ac:dyDescent="0.35">
      <c r="A187" s="508"/>
      <c r="B187" s="508"/>
    </row>
    <row r="188" spans="1:2" x14ac:dyDescent="0.35">
      <c r="A188" s="508"/>
      <c r="B188" s="508"/>
    </row>
    <row r="189" spans="1:2" x14ac:dyDescent="0.35">
      <c r="A189" s="508"/>
      <c r="B189" s="508"/>
    </row>
    <row r="190" spans="1:2" x14ac:dyDescent="0.35">
      <c r="A190" s="508"/>
      <c r="B190" s="508"/>
    </row>
    <row r="191" spans="1:2" x14ac:dyDescent="0.35">
      <c r="A191" s="508"/>
      <c r="B191" s="508"/>
    </row>
    <row r="192" spans="1:2" x14ac:dyDescent="0.35">
      <c r="A192" s="508"/>
      <c r="B192" s="508"/>
    </row>
    <row r="193" spans="1:2" x14ac:dyDescent="0.35">
      <c r="A193" s="508"/>
      <c r="B193" s="508"/>
    </row>
    <row r="194" spans="1:2" x14ac:dyDescent="0.35">
      <c r="A194" s="508"/>
      <c r="B194" s="508"/>
    </row>
    <row r="195" spans="1:2" x14ac:dyDescent="0.35">
      <c r="A195" s="508"/>
      <c r="B195" s="508"/>
    </row>
    <row r="196" spans="1:2" x14ac:dyDescent="0.35">
      <c r="A196" s="508"/>
      <c r="B196" s="508"/>
    </row>
    <row r="197" spans="1:2" x14ac:dyDescent="0.35">
      <c r="A197" s="508"/>
      <c r="B197" s="508"/>
    </row>
    <row r="198" spans="1:2" x14ac:dyDescent="0.35">
      <c r="A198" s="508"/>
      <c r="B198" s="508"/>
    </row>
    <row r="199" spans="1:2" x14ac:dyDescent="0.35">
      <c r="A199" s="508"/>
      <c r="B199" s="508"/>
    </row>
    <row r="200" spans="1:2" x14ac:dyDescent="0.35">
      <c r="A200" s="508"/>
      <c r="B200" s="508"/>
    </row>
    <row r="201" spans="1:2" x14ac:dyDescent="0.35">
      <c r="A201" s="508"/>
      <c r="B201" s="508"/>
    </row>
    <row r="202" spans="1:2" x14ac:dyDescent="0.35">
      <c r="A202" s="508"/>
      <c r="B202" s="508"/>
    </row>
    <row r="203" spans="1:2" x14ac:dyDescent="0.35">
      <c r="A203" s="508"/>
      <c r="B203" s="508"/>
    </row>
    <row r="204" spans="1:2" x14ac:dyDescent="0.35">
      <c r="A204" s="508"/>
      <c r="B204" s="508"/>
    </row>
    <row r="205" spans="1:2" x14ac:dyDescent="0.35">
      <c r="A205" s="508"/>
      <c r="B205" s="508"/>
    </row>
    <row r="206" spans="1:2" x14ac:dyDescent="0.35">
      <c r="A206" s="508"/>
      <c r="B206" s="508"/>
    </row>
    <row r="207" spans="1:2" x14ac:dyDescent="0.35">
      <c r="A207" s="508"/>
      <c r="B207" s="508"/>
    </row>
    <row r="208" spans="1:2" x14ac:dyDescent="0.35">
      <c r="A208" s="508"/>
      <c r="B208" s="508"/>
    </row>
    <row r="209" spans="1:2" x14ac:dyDescent="0.35">
      <c r="A209" s="508"/>
      <c r="B209" s="508"/>
    </row>
    <row r="210" spans="1:2" x14ac:dyDescent="0.35">
      <c r="A210" s="508"/>
      <c r="B210" s="508"/>
    </row>
    <row r="211" spans="1:2" x14ac:dyDescent="0.35">
      <c r="A211" s="508"/>
      <c r="B211" s="508"/>
    </row>
    <row r="212" spans="1:2" x14ac:dyDescent="0.35">
      <c r="A212" s="508"/>
      <c r="B212" s="508"/>
    </row>
    <row r="213" spans="1:2" x14ac:dyDescent="0.35">
      <c r="A213" s="508"/>
      <c r="B213" s="508"/>
    </row>
    <row r="214" spans="1:2" x14ac:dyDescent="0.35">
      <c r="A214" s="508"/>
      <c r="B214" s="508"/>
    </row>
    <row r="215" spans="1:2" x14ac:dyDescent="0.35">
      <c r="A215" s="508"/>
      <c r="B215" s="508"/>
    </row>
    <row r="216" spans="1:2" x14ac:dyDescent="0.35">
      <c r="A216" s="508"/>
      <c r="B216" s="508"/>
    </row>
    <row r="217" spans="1:2" x14ac:dyDescent="0.35">
      <c r="A217" s="508"/>
      <c r="B217" s="508"/>
    </row>
    <row r="218" spans="1:2" x14ac:dyDescent="0.35">
      <c r="A218" s="508"/>
      <c r="B218" s="508"/>
    </row>
    <row r="219" spans="1:2" x14ac:dyDescent="0.35">
      <c r="A219" s="508"/>
      <c r="B219" s="508"/>
    </row>
    <row r="220" spans="1:2" x14ac:dyDescent="0.35">
      <c r="A220" s="508"/>
      <c r="B220" s="508"/>
    </row>
    <row r="221" spans="1:2" x14ac:dyDescent="0.35">
      <c r="A221" s="508"/>
      <c r="B221" s="508"/>
    </row>
    <row r="222" spans="1:2" x14ac:dyDescent="0.35">
      <c r="A222" s="508"/>
      <c r="B222" s="508"/>
    </row>
    <row r="223" spans="1:2" x14ac:dyDescent="0.35">
      <c r="A223" s="508"/>
      <c r="B223" s="508"/>
    </row>
    <row r="224" spans="1:2" x14ac:dyDescent="0.35">
      <c r="A224" s="508"/>
      <c r="B224" s="508"/>
    </row>
    <row r="225" spans="1:2" x14ac:dyDescent="0.35">
      <c r="A225" s="508"/>
      <c r="B225" s="508"/>
    </row>
    <row r="226" spans="1:2" x14ac:dyDescent="0.35">
      <c r="A226" s="508"/>
      <c r="B226" s="508"/>
    </row>
    <row r="227" spans="1:2" x14ac:dyDescent="0.35">
      <c r="A227" s="508"/>
      <c r="B227" s="508"/>
    </row>
    <row r="228" spans="1:2" x14ac:dyDescent="0.35">
      <c r="A228" s="508"/>
      <c r="B228" s="508"/>
    </row>
    <row r="229" spans="1:2" x14ac:dyDescent="0.35">
      <c r="A229" s="508"/>
      <c r="B229" s="508"/>
    </row>
    <row r="230" spans="1:2" x14ac:dyDescent="0.35">
      <c r="A230" s="508"/>
      <c r="B230" s="508"/>
    </row>
    <row r="231" spans="1:2" x14ac:dyDescent="0.35">
      <c r="A231" s="508"/>
      <c r="B231" s="508"/>
    </row>
    <row r="232" spans="1:2" x14ac:dyDescent="0.35">
      <c r="A232" s="508"/>
      <c r="B232" s="508"/>
    </row>
    <row r="233" spans="1:2" x14ac:dyDescent="0.35">
      <c r="A233" s="508"/>
      <c r="B233" s="508"/>
    </row>
    <row r="234" spans="1:2" x14ac:dyDescent="0.35">
      <c r="A234" s="508"/>
      <c r="B234" s="508"/>
    </row>
    <row r="235" spans="1:2" x14ac:dyDescent="0.35">
      <c r="A235" s="508"/>
      <c r="B235" s="508"/>
    </row>
    <row r="236" spans="1:2" x14ac:dyDescent="0.35">
      <c r="A236" s="508"/>
      <c r="B236" s="508"/>
    </row>
    <row r="237" spans="1:2" x14ac:dyDescent="0.35">
      <c r="A237" s="508"/>
      <c r="B237" s="508"/>
    </row>
    <row r="238" spans="1:2" x14ac:dyDescent="0.35">
      <c r="A238" s="508"/>
      <c r="B238" s="508"/>
    </row>
    <row r="239" spans="1:2" x14ac:dyDescent="0.35">
      <c r="A239" s="508"/>
      <c r="B239" s="508"/>
    </row>
    <row r="240" spans="1:2" x14ac:dyDescent="0.35">
      <c r="A240" s="508"/>
      <c r="B240" s="508"/>
    </row>
    <row r="241" spans="1:2" x14ac:dyDescent="0.35">
      <c r="A241" s="508"/>
      <c r="B241" s="508"/>
    </row>
    <row r="242" spans="1:2" x14ac:dyDescent="0.35">
      <c r="A242" s="508"/>
      <c r="B242" s="508"/>
    </row>
    <row r="243" spans="1:2" x14ac:dyDescent="0.35">
      <c r="A243" s="508"/>
      <c r="B243" s="508"/>
    </row>
    <row r="244" spans="1:2" x14ac:dyDescent="0.35">
      <c r="A244" s="508"/>
      <c r="B244" s="508"/>
    </row>
    <row r="245" spans="1:2" x14ac:dyDescent="0.35">
      <c r="A245" s="508"/>
      <c r="B245" s="508"/>
    </row>
    <row r="246" spans="1:2" x14ac:dyDescent="0.35">
      <c r="A246" s="508"/>
      <c r="B246" s="508"/>
    </row>
    <row r="247" spans="1:2" x14ac:dyDescent="0.35">
      <c r="A247" s="508"/>
      <c r="B247" s="508"/>
    </row>
    <row r="248" spans="1:2" x14ac:dyDescent="0.35">
      <c r="A248" s="508"/>
      <c r="B248" s="508"/>
    </row>
    <row r="249" spans="1:2" x14ac:dyDescent="0.35">
      <c r="A249" s="508"/>
      <c r="B249" s="508"/>
    </row>
    <row r="250" spans="1:2" x14ac:dyDescent="0.35">
      <c r="A250" s="508"/>
      <c r="B250" s="508"/>
    </row>
    <row r="251" spans="1:2" x14ac:dyDescent="0.35">
      <c r="A251" s="508"/>
      <c r="B251" s="508"/>
    </row>
    <row r="252" spans="1:2" x14ac:dyDescent="0.35">
      <c r="A252" s="508"/>
      <c r="B252" s="508"/>
    </row>
  </sheetData>
  <pageMargins left="0.7" right="0.7" top="0.75" bottom="0.75" header="0.3" footer="0.3"/>
  <pageSetup scale="4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AJ74"/>
  <sheetViews>
    <sheetView zoomScaleNormal="100" workbookViewId="0">
      <pane xSplit="1" ySplit="10" topLeftCell="B48" activePane="bottomRight" state="frozen"/>
      <selection sqref="A1:XFD1"/>
      <selection pane="topRight" sqref="A1:XFD1"/>
      <selection pane="bottomLeft" sqref="A1:XFD1"/>
      <selection pane="bottomRight" activeCell="U2" sqref="U2"/>
    </sheetView>
  </sheetViews>
  <sheetFormatPr defaultRowHeight="12.5" x14ac:dyDescent="0.25"/>
  <cols>
    <col min="1" max="1" width="7.7265625" customWidth="1"/>
    <col min="2" max="2" width="8.1796875" customWidth="1"/>
    <col min="3" max="3" width="8" customWidth="1"/>
    <col min="4" max="4" width="7.453125" customWidth="1"/>
    <col min="6" max="6" width="7.1796875" customWidth="1"/>
    <col min="7" max="7" width="6.81640625" customWidth="1"/>
    <col min="8" max="8" width="8.81640625" customWidth="1"/>
    <col min="9" max="9" width="6.7265625" customWidth="1"/>
    <col min="10" max="10" width="10.7265625" customWidth="1"/>
    <col min="11" max="12" width="9.81640625" customWidth="1"/>
    <col min="13" max="14" width="11.7265625" customWidth="1"/>
    <col min="15" max="15" width="7.54296875" customWidth="1"/>
    <col min="16" max="16" width="7.7265625" bestFit="1" customWidth="1"/>
    <col min="17" max="17" width="9.453125" customWidth="1"/>
    <col min="18" max="18" width="7" customWidth="1"/>
    <col min="19" max="19" width="9.81640625" customWidth="1"/>
    <col min="20" max="20" width="8.453125" customWidth="1"/>
    <col min="22" max="22" width="6.26953125" customWidth="1"/>
    <col min="23" max="23" width="9.7265625" customWidth="1"/>
    <col min="24" max="24" width="7" customWidth="1"/>
    <col min="25" max="25" width="9.81640625" bestFit="1" customWidth="1"/>
    <col min="26" max="26" width="8.453125" customWidth="1"/>
  </cols>
  <sheetData>
    <row r="1" spans="1:26" s="220" customFormat="1" ht="30" x14ac:dyDescent="0.6">
      <c r="A1" s="414" t="s">
        <v>366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  <c r="Y1" s="416"/>
      <c r="Z1" s="416"/>
    </row>
    <row r="2" spans="1:26" s="220" customFormat="1" ht="30" x14ac:dyDescent="0.6">
      <c r="A2" s="417" t="s">
        <v>258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9"/>
      <c r="Y2" s="419"/>
      <c r="Z2" s="419"/>
    </row>
    <row r="3" spans="1:26" ht="6" customHeight="1" x14ac:dyDescent="0.25">
      <c r="A3" s="19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215"/>
      <c r="R3" s="215"/>
      <c r="S3" s="215"/>
      <c r="T3" s="215"/>
      <c r="U3" s="90"/>
      <c r="V3" s="216"/>
      <c r="W3" s="217"/>
      <c r="X3" s="217"/>
      <c r="Y3" s="217"/>
      <c r="Z3" s="215"/>
    </row>
    <row r="4" spans="1:26" x14ac:dyDescent="0.25">
      <c r="A4" s="537" t="s">
        <v>197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  <c r="X4" s="538"/>
      <c r="Y4" s="538"/>
      <c r="Z4" s="539"/>
    </row>
    <row r="5" spans="1:26" ht="14.25" customHeight="1" x14ac:dyDescent="0.25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2"/>
    </row>
    <row r="6" spans="1:26" ht="12.75" customHeight="1" x14ac:dyDescent="0.3">
      <c r="A6" s="21"/>
      <c r="B6" s="527" t="s">
        <v>15</v>
      </c>
      <c r="C6" s="528"/>
      <c r="D6" s="528"/>
      <c r="E6" s="528"/>
      <c r="F6" s="528"/>
      <c r="G6" s="528"/>
      <c r="H6" s="528"/>
      <c r="I6" s="528"/>
      <c r="J6" s="528"/>
      <c r="K6" s="80"/>
      <c r="L6" s="80"/>
      <c r="M6" s="80"/>
      <c r="N6" s="80"/>
      <c r="O6" s="527" t="s">
        <v>188</v>
      </c>
      <c r="P6" s="530"/>
      <c r="Q6" s="520" t="s">
        <v>104</v>
      </c>
      <c r="R6" s="521"/>
      <c r="S6" s="521"/>
      <c r="T6" s="525"/>
      <c r="U6" s="527" t="s">
        <v>40</v>
      </c>
      <c r="V6" s="530"/>
      <c r="W6" s="520" t="s">
        <v>104</v>
      </c>
      <c r="X6" s="521"/>
      <c r="Y6" s="521"/>
      <c r="Z6" s="525"/>
    </row>
    <row r="7" spans="1:26" ht="12.75" customHeight="1" x14ac:dyDescent="0.3">
      <c r="A7" s="515" t="s">
        <v>9</v>
      </c>
      <c r="B7" s="522" t="s">
        <v>228</v>
      </c>
      <c r="C7" s="517" t="s">
        <v>159</v>
      </c>
      <c r="D7" s="517" t="s">
        <v>113</v>
      </c>
      <c r="E7" s="517" t="s">
        <v>17</v>
      </c>
      <c r="F7" s="517" t="s">
        <v>161</v>
      </c>
      <c r="G7" s="517" t="s">
        <v>218</v>
      </c>
      <c r="H7" s="78"/>
      <c r="I7" s="517" t="s">
        <v>162</v>
      </c>
      <c r="J7" s="517" t="s">
        <v>165</v>
      </c>
      <c r="K7" s="517" t="s">
        <v>164</v>
      </c>
      <c r="L7" s="517" t="s">
        <v>65</v>
      </c>
      <c r="M7" s="517" t="s">
        <v>191</v>
      </c>
      <c r="N7" s="517" t="s">
        <v>192</v>
      </c>
      <c r="O7" s="522" t="s">
        <v>187</v>
      </c>
      <c r="P7" s="514" t="s">
        <v>188</v>
      </c>
      <c r="Q7" s="520" t="s">
        <v>39</v>
      </c>
      <c r="R7" s="521"/>
      <c r="S7" s="521"/>
      <c r="T7" s="525"/>
      <c r="U7" s="522" t="s">
        <v>42</v>
      </c>
      <c r="V7" s="43"/>
      <c r="W7" s="520" t="s">
        <v>107</v>
      </c>
      <c r="X7" s="521"/>
      <c r="Y7" s="521"/>
      <c r="Z7" s="525"/>
    </row>
    <row r="8" spans="1:26" ht="15" customHeight="1" x14ac:dyDescent="0.3">
      <c r="A8" s="515"/>
      <c r="B8" s="523"/>
      <c r="C8" s="518"/>
      <c r="D8" s="518"/>
      <c r="E8" s="518"/>
      <c r="F8" s="518"/>
      <c r="G8" s="518"/>
      <c r="H8" s="8"/>
      <c r="I8" s="518"/>
      <c r="J8" s="518"/>
      <c r="K8" s="518"/>
      <c r="L8" s="518"/>
      <c r="M8" s="518"/>
      <c r="N8" s="518"/>
      <c r="O8" s="523"/>
      <c r="P8" s="515"/>
      <c r="Q8" s="522" t="s">
        <v>163</v>
      </c>
      <c r="R8" s="517" t="s">
        <v>108</v>
      </c>
      <c r="S8" s="517" t="s">
        <v>105</v>
      </c>
      <c r="T8" s="514" t="s">
        <v>106</v>
      </c>
      <c r="U8" s="523"/>
      <c r="V8" s="42"/>
      <c r="W8" s="522" t="s">
        <v>163</v>
      </c>
      <c r="X8" s="517" t="s">
        <v>108</v>
      </c>
      <c r="Y8" s="517" t="s">
        <v>105</v>
      </c>
      <c r="Z8" s="514" t="s">
        <v>106</v>
      </c>
    </row>
    <row r="9" spans="1:26" ht="13.5" customHeight="1" x14ac:dyDescent="0.3">
      <c r="A9" s="515"/>
      <c r="B9" s="523"/>
      <c r="C9" s="518"/>
      <c r="D9" s="518"/>
      <c r="E9" s="518"/>
      <c r="F9" s="518"/>
      <c r="G9" s="518"/>
      <c r="H9" s="8" t="s">
        <v>131</v>
      </c>
      <c r="I9" s="518"/>
      <c r="J9" s="518"/>
      <c r="K9" s="518"/>
      <c r="L9" s="518"/>
      <c r="M9" s="518"/>
      <c r="N9" s="518"/>
      <c r="O9" s="523"/>
      <c r="P9" s="515"/>
      <c r="Q9" s="523"/>
      <c r="R9" s="518"/>
      <c r="S9" s="518"/>
      <c r="T9" s="515"/>
      <c r="U9" s="523"/>
      <c r="V9" s="42" t="s">
        <v>43</v>
      </c>
      <c r="W9" s="523"/>
      <c r="X9" s="518"/>
      <c r="Y9" s="518"/>
      <c r="Z9" s="515"/>
    </row>
    <row r="10" spans="1:26" ht="15" customHeight="1" thickBot="1" x14ac:dyDescent="0.35">
      <c r="A10" s="516"/>
      <c r="B10" s="524"/>
      <c r="C10" s="519"/>
      <c r="D10" s="519"/>
      <c r="E10" s="519"/>
      <c r="F10" s="519"/>
      <c r="G10" s="519"/>
      <c r="H10" s="79" t="s">
        <v>132</v>
      </c>
      <c r="I10" s="519"/>
      <c r="J10" s="519"/>
      <c r="K10" s="519"/>
      <c r="L10" s="519"/>
      <c r="M10" s="519"/>
      <c r="N10" s="519"/>
      <c r="O10" s="524"/>
      <c r="P10" s="516"/>
      <c r="Q10" s="524"/>
      <c r="R10" s="519"/>
      <c r="S10" s="519"/>
      <c r="T10" s="516"/>
      <c r="U10" s="524"/>
      <c r="V10" s="39" t="s">
        <v>160</v>
      </c>
      <c r="W10" s="524"/>
      <c r="X10" s="519"/>
      <c r="Y10" s="519"/>
      <c r="Z10" s="516"/>
    </row>
    <row r="11" spans="1:26" x14ac:dyDescent="0.25">
      <c r="A11" s="252">
        <v>2002</v>
      </c>
      <c r="B11" s="218">
        <f>3395.6-53</f>
        <v>3342.6</v>
      </c>
      <c r="C11" s="218">
        <f>683.2-16.6</f>
        <v>666.6</v>
      </c>
      <c r="D11" s="218">
        <v>325.39999999999998</v>
      </c>
      <c r="E11" s="218">
        <f>16.7-4.9</f>
        <v>11.799999999999999</v>
      </c>
      <c r="F11" s="90">
        <f t="shared" ref="F11:F16" si="0">C11-D11-E11</f>
        <v>329.40000000000003</v>
      </c>
      <c r="G11" s="218">
        <v>39</v>
      </c>
      <c r="H11" s="90">
        <v>4.7</v>
      </c>
      <c r="I11" s="90">
        <f>110.6-4.2</f>
        <v>106.39999999999999</v>
      </c>
      <c r="J11" s="90">
        <f t="shared" ref="J11:J16" si="1">F11-G11+H11-I11</f>
        <v>188.70000000000005</v>
      </c>
      <c r="K11" s="88">
        <v>36.9</v>
      </c>
      <c r="L11" s="88">
        <f t="shared" ref="L11:L17" si="2">+J11+K11</f>
        <v>225.60000000000005</v>
      </c>
      <c r="M11" s="88"/>
      <c r="N11" s="88">
        <f t="shared" ref="N11:N17" si="3">+L11-M11</f>
        <v>225.60000000000005</v>
      </c>
      <c r="O11" s="87">
        <f>118.9+9.6</f>
        <v>128.5</v>
      </c>
      <c r="P11" s="88">
        <f t="shared" ref="P11:P16" si="4">F11+O11</f>
        <v>457.90000000000003</v>
      </c>
      <c r="Q11" s="92">
        <f t="shared" ref="Q11:Q18" si="5">(+J11-M11)/U11</f>
        <v>0.94444444444444464</v>
      </c>
      <c r="R11" s="74">
        <f>+'Cash Flow'!O45/'Income - Continuing Ops'!U11</f>
        <v>2.2817817817817816</v>
      </c>
      <c r="S11" s="74">
        <v>0.5</v>
      </c>
      <c r="T11" s="93">
        <v>22.44</v>
      </c>
      <c r="U11" s="88">
        <v>199.8</v>
      </c>
      <c r="V11" s="94"/>
      <c r="W11" s="95">
        <f t="shared" ref="W11:W16" si="6">Q11</f>
        <v>0.94444444444444464</v>
      </c>
      <c r="X11" s="75">
        <f t="shared" ref="X11:Y16" si="7">+R11</f>
        <v>2.2817817817817816</v>
      </c>
      <c r="Y11" s="75">
        <f t="shared" si="7"/>
        <v>0.5</v>
      </c>
      <c r="Z11" s="93">
        <f t="shared" ref="Z11:Z16" si="8">T11</f>
        <v>22.44</v>
      </c>
    </row>
    <row r="12" spans="1:26" x14ac:dyDescent="0.25">
      <c r="A12" s="60">
        <v>2003</v>
      </c>
      <c r="B12" s="218">
        <v>3468.3</v>
      </c>
      <c r="C12" s="218">
        <v>641</v>
      </c>
      <c r="D12" s="218">
        <v>340.1</v>
      </c>
      <c r="E12" s="218">
        <v>5.3</v>
      </c>
      <c r="F12" s="90">
        <f t="shared" si="0"/>
        <v>295.59999999999997</v>
      </c>
      <c r="G12" s="218">
        <v>43.8</v>
      </c>
      <c r="H12" s="90">
        <v>6.4</v>
      </c>
      <c r="I12" s="90">
        <v>87.9</v>
      </c>
      <c r="J12" s="90">
        <f t="shared" si="1"/>
        <v>170.29999999999993</v>
      </c>
      <c r="K12" s="90">
        <v>35.6</v>
      </c>
      <c r="L12" s="90">
        <f t="shared" si="2"/>
        <v>205.89999999999992</v>
      </c>
      <c r="M12" s="90"/>
      <c r="N12" s="90">
        <f t="shared" si="3"/>
        <v>205.89999999999992</v>
      </c>
      <c r="O12" s="316">
        <f>123.4+7.9</f>
        <v>131.30000000000001</v>
      </c>
      <c r="P12" s="90">
        <f t="shared" si="4"/>
        <v>426.9</v>
      </c>
      <c r="Q12" s="305">
        <f t="shared" si="5"/>
        <v>0.86446700507614171</v>
      </c>
      <c r="R12" s="215">
        <f>+'Cash Flow'!O46/'Income - Continuing Ops'!U12</f>
        <v>2.0065989847715735</v>
      </c>
      <c r="S12" s="215">
        <v>0.54</v>
      </c>
      <c r="T12" s="306">
        <v>21.63</v>
      </c>
      <c r="U12" s="90">
        <v>197</v>
      </c>
      <c r="V12" s="216"/>
      <c r="W12" s="307">
        <f t="shared" si="6"/>
        <v>0.86446700507614171</v>
      </c>
      <c r="X12" s="217">
        <f t="shared" si="7"/>
        <v>2.0065989847715735</v>
      </c>
      <c r="Y12" s="217">
        <f t="shared" si="7"/>
        <v>0.54</v>
      </c>
      <c r="Z12" s="306">
        <f t="shared" si="8"/>
        <v>21.63</v>
      </c>
    </row>
    <row r="13" spans="1:26" x14ac:dyDescent="0.25">
      <c r="A13" s="60">
        <v>2004</v>
      </c>
      <c r="B13" s="218">
        <v>4055.1</v>
      </c>
      <c r="C13" s="218">
        <v>761.3</v>
      </c>
      <c r="D13" s="218">
        <v>386.7</v>
      </c>
      <c r="E13" s="218">
        <f>-7.2-1.9</f>
        <v>-9.1</v>
      </c>
      <c r="F13" s="90">
        <f t="shared" si="0"/>
        <v>383.7</v>
      </c>
      <c r="G13" s="218">
        <v>45.6</v>
      </c>
      <c r="H13" s="90">
        <v>6.8</v>
      </c>
      <c r="I13" s="90">
        <v>107.7</v>
      </c>
      <c r="J13" s="90">
        <f t="shared" si="1"/>
        <v>237.2</v>
      </c>
      <c r="K13" s="90">
        <v>50.1</v>
      </c>
      <c r="L13" s="90">
        <f t="shared" si="2"/>
        <v>287.3</v>
      </c>
      <c r="M13" s="90">
        <v>1.9</v>
      </c>
      <c r="N13" s="90">
        <f t="shared" si="3"/>
        <v>285.40000000000003</v>
      </c>
      <c r="O13" s="316">
        <f>131.3+8.9</f>
        <v>140.20000000000002</v>
      </c>
      <c r="P13" s="90">
        <f t="shared" si="4"/>
        <v>523.9</v>
      </c>
      <c r="Q13" s="305">
        <f t="shared" si="5"/>
        <v>1.1950228542407313</v>
      </c>
      <c r="R13" s="215">
        <f>+'Cash Flow'!O47/'Income - Continuing Ops'!U13</f>
        <v>1.7394616556627727</v>
      </c>
      <c r="S13" s="215">
        <v>0.57999999999999996</v>
      </c>
      <c r="T13" s="306">
        <v>28.43</v>
      </c>
      <c r="U13" s="90">
        <v>196.9</v>
      </c>
      <c r="V13" s="216"/>
      <c r="W13" s="307">
        <f t="shared" si="6"/>
        <v>1.1950228542407313</v>
      </c>
      <c r="X13" s="217">
        <f t="shared" si="7"/>
        <v>1.7394616556627727</v>
      </c>
      <c r="Y13" s="217">
        <f t="shared" si="7"/>
        <v>0.57999999999999996</v>
      </c>
      <c r="Z13" s="306">
        <f t="shared" si="8"/>
        <v>28.43</v>
      </c>
    </row>
    <row r="14" spans="1:26" x14ac:dyDescent="0.25">
      <c r="A14" s="253">
        <v>2005</v>
      </c>
      <c r="B14" s="309">
        <v>4197.1000000000004</v>
      </c>
      <c r="C14" s="309">
        <v>769.5</v>
      </c>
      <c r="D14" s="309">
        <v>389.7</v>
      </c>
      <c r="E14" s="309">
        <f>38.1-3</f>
        <v>35.1</v>
      </c>
      <c r="F14" s="100">
        <f t="shared" si="0"/>
        <v>344.7</v>
      </c>
      <c r="G14" s="309">
        <v>45.7</v>
      </c>
      <c r="H14" s="100">
        <v>6.6</v>
      </c>
      <c r="I14" s="100">
        <v>86.5</v>
      </c>
      <c r="J14" s="100">
        <f t="shared" si="1"/>
        <v>219.10000000000002</v>
      </c>
      <c r="K14" s="100">
        <v>35.200000000000003</v>
      </c>
      <c r="L14" s="100">
        <f t="shared" si="2"/>
        <v>254.3</v>
      </c>
      <c r="M14" s="100">
        <v>3</v>
      </c>
      <c r="N14" s="100">
        <f t="shared" si="3"/>
        <v>251.3</v>
      </c>
      <c r="O14" s="322">
        <f>125.6+7.8</f>
        <v>133.4</v>
      </c>
      <c r="P14" s="100">
        <f t="shared" si="4"/>
        <v>478.1</v>
      </c>
      <c r="Q14" s="310">
        <f t="shared" si="5"/>
        <v>1.1163631667312413</v>
      </c>
      <c r="R14" s="311">
        <f>+'Cash Flow'!O48/'Income - Continuing Ops'!U14</f>
        <v>2.3158982306599514</v>
      </c>
      <c r="S14" s="311">
        <v>0.63</v>
      </c>
      <c r="T14" s="312">
        <v>22.96</v>
      </c>
      <c r="U14" s="100">
        <v>193.57499999999999</v>
      </c>
      <c r="V14" s="313"/>
      <c r="W14" s="314">
        <f t="shared" si="6"/>
        <v>1.1163631667312413</v>
      </c>
      <c r="X14" s="315">
        <f t="shared" si="7"/>
        <v>2.3158982306599514</v>
      </c>
      <c r="Y14" s="315">
        <f t="shared" si="7"/>
        <v>0.63</v>
      </c>
      <c r="Z14" s="312">
        <f t="shared" si="8"/>
        <v>22.96</v>
      </c>
    </row>
    <row r="15" spans="1:26" x14ac:dyDescent="0.25">
      <c r="A15" s="60">
        <v>2006</v>
      </c>
      <c r="B15" s="218">
        <v>4266.8999999999996</v>
      </c>
      <c r="C15" s="218">
        <v>802.6</v>
      </c>
      <c r="D15" s="218">
        <v>395.3</v>
      </c>
      <c r="E15" s="218">
        <f>23.9-3.5</f>
        <v>20.399999999999999</v>
      </c>
      <c r="F15" s="88">
        <f t="shared" si="0"/>
        <v>386.90000000000003</v>
      </c>
      <c r="G15" s="218">
        <v>54.2</v>
      </c>
      <c r="H15" s="90">
        <v>6.4</v>
      </c>
      <c r="I15" s="88">
        <v>99.5</v>
      </c>
      <c r="J15" s="88">
        <f t="shared" si="1"/>
        <v>239.60000000000002</v>
      </c>
      <c r="K15" s="88">
        <v>64.2</v>
      </c>
      <c r="L15" s="88">
        <f t="shared" si="2"/>
        <v>303.8</v>
      </c>
      <c r="M15" s="88">
        <v>3.5</v>
      </c>
      <c r="N15" s="88">
        <f t="shared" si="3"/>
        <v>300.3</v>
      </c>
      <c r="O15" s="87">
        <f>119.7+15.7</f>
        <v>135.4</v>
      </c>
      <c r="P15" s="90">
        <f t="shared" si="4"/>
        <v>522.30000000000007</v>
      </c>
      <c r="Q15" s="305">
        <f t="shared" si="5"/>
        <v>1.2639186295503213</v>
      </c>
      <c r="R15" s="74">
        <f>+'Cash Flow'!O49/'Income - Continuing Ops'!U15</f>
        <v>2.5637044967880085</v>
      </c>
      <c r="S15" s="74">
        <v>0.67</v>
      </c>
      <c r="T15" s="93">
        <v>23.9</v>
      </c>
      <c r="U15" s="88">
        <v>186.8</v>
      </c>
      <c r="V15" s="94"/>
      <c r="W15" s="95">
        <f t="shared" si="6"/>
        <v>1.2639186295503213</v>
      </c>
      <c r="X15" s="75">
        <f t="shared" si="7"/>
        <v>2.5637044967880085</v>
      </c>
      <c r="Y15" s="75">
        <f t="shared" si="7"/>
        <v>0.67</v>
      </c>
      <c r="Z15" s="93">
        <f t="shared" si="8"/>
        <v>23.9</v>
      </c>
    </row>
    <row r="16" spans="1:26" x14ac:dyDescent="0.25">
      <c r="A16" s="60">
        <v>2007</v>
      </c>
      <c r="B16" s="218">
        <v>4250</v>
      </c>
      <c r="C16" s="218">
        <v>795.8</v>
      </c>
      <c r="D16" s="218">
        <v>429.7</v>
      </c>
      <c r="E16" s="218">
        <f>175.2-5.6</f>
        <v>169.6</v>
      </c>
      <c r="F16" s="88">
        <f t="shared" si="0"/>
        <v>196.49999999999997</v>
      </c>
      <c r="G16" s="218">
        <v>58.6</v>
      </c>
      <c r="H16" s="90">
        <v>9.5</v>
      </c>
      <c r="I16" s="88">
        <v>82.4</v>
      </c>
      <c r="J16" s="88">
        <f t="shared" si="1"/>
        <v>64.999999999999972</v>
      </c>
      <c r="K16" s="88">
        <v>-70.599999999999994</v>
      </c>
      <c r="L16" s="88">
        <f t="shared" si="2"/>
        <v>-5.6000000000000227</v>
      </c>
      <c r="M16" s="88">
        <v>5.6</v>
      </c>
      <c r="N16" s="88">
        <f t="shared" si="3"/>
        <v>-11.200000000000022</v>
      </c>
      <c r="O16" s="87">
        <f>120.2+23.3</f>
        <v>143.5</v>
      </c>
      <c r="P16" s="90">
        <f t="shared" si="4"/>
        <v>340</v>
      </c>
      <c r="Q16" s="305">
        <f t="shared" si="5"/>
        <v>0.33036707452725234</v>
      </c>
      <c r="R16" s="74">
        <f>+'Cash Flow'!O50/'Income - Continuing Ops'!U16</f>
        <v>3.4132369299221357</v>
      </c>
      <c r="S16" s="74">
        <v>0.78</v>
      </c>
      <c r="T16" s="93">
        <v>17.440000000000001</v>
      </c>
      <c r="U16" s="88">
        <v>179.8</v>
      </c>
      <c r="V16" s="94"/>
      <c r="W16" s="95">
        <f t="shared" si="6"/>
        <v>0.33036707452725234</v>
      </c>
      <c r="X16" s="75">
        <f t="shared" si="7"/>
        <v>3.4132369299221357</v>
      </c>
      <c r="Y16" s="75">
        <f t="shared" si="7"/>
        <v>0.78</v>
      </c>
      <c r="Z16" s="93">
        <f t="shared" si="8"/>
        <v>17.440000000000001</v>
      </c>
    </row>
    <row r="17" spans="1:26" x14ac:dyDescent="0.25">
      <c r="A17" s="60">
        <v>2008</v>
      </c>
      <c r="B17" s="218">
        <v>4076.1</v>
      </c>
      <c r="C17" s="218">
        <v>691.2</v>
      </c>
      <c r="D17" s="218">
        <v>423.2</v>
      </c>
      <c r="E17" s="218">
        <f>40.3-4.6</f>
        <v>35.699999999999996</v>
      </c>
      <c r="F17" s="88">
        <f t="shared" ref="F17:F23" si="9">C17-D17-E17</f>
        <v>232.30000000000007</v>
      </c>
      <c r="G17" s="218">
        <v>48.4</v>
      </c>
      <c r="H17" s="90">
        <v>8.6999999999999993</v>
      </c>
      <c r="I17" s="88">
        <v>65.099999999999994</v>
      </c>
      <c r="J17" s="88">
        <f t="shared" ref="J17:J23" si="10">F17-G17+H17-I17</f>
        <v>127.50000000000006</v>
      </c>
      <c r="K17" s="88">
        <v>-18.5</v>
      </c>
      <c r="L17" s="88">
        <f t="shared" si="2"/>
        <v>109.00000000000006</v>
      </c>
      <c r="M17" s="88">
        <v>4.5999999999999996</v>
      </c>
      <c r="N17" s="88">
        <f t="shared" si="3"/>
        <v>104.40000000000006</v>
      </c>
      <c r="O17" s="87">
        <v>140.4</v>
      </c>
      <c r="P17" s="90">
        <f t="shared" ref="P17:P23" si="11">F17+O17</f>
        <v>372.70000000000005</v>
      </c>
      <c r="Q17" s="305">
        <f t="shared" si="5"/>
        <v>0.73067776456599332</v>
      </c>
      <c r="R17" s="74">
        <f>+'Cash Flow'!O51/'Income - Continuing Ops'!U17</f>
        <v>2.5933412604042809</v>
      </c>
      <c r="S17" s="74">
        <v>1</v>
      </c>
      <c r="T17" s="93">
        <v>15.19</v>
      </c>
      <c r="U17" s="88">
        <v>168.2</v>
      </c>
      <c r="V17" s="94"/>
      <c r="W17" s="95">
        <f t="shared" ref="W17:W23" si="12">Q17</f>
        <v>0.73067776456599332</v>
      </c>
      <c r="X17" s="75">
        <f t="shared" ref="X17:Y19" si="13">+R17</f>
        <v>2.5933412604042809</v>
      </c>
      <c r="Y17" s="75">
        <f t="shared" si="13"/>
        <v>1</v>
      </c>
      <c r="Z17" s="93">
        <f t="shared" ref="Z17:Z23" si="14">T17</f>
        <v>15.19</v>
      </c>
    </row>
    <row r="18" spans="1:26" x14ac:dyDescent="0.25">
      <c r="A18" s="343">
        <v>2009</v>
      </c>
      <c r="B18" s="218">
        <v>2673</v>
      </c>
      <c r="C18" s="218">
        <v>564.9</v>
      </c>
      <c r="D18" s="218">
        <v>325.5</v>
      </c>
      <c r="E18" s="218">
        <v>31.6</v>
      </c>
      <c r="F18" s="88">
        <f t="shared" si="9"/>
        <v>207.79999999999998</v>
      </c>
      <c r="G18" s="218">
        <v>37.299999999999997</v>
      </c>
      <c r="H18" s="90">
        <v>5.4</v>
      </c>
      <c r="I18" s="88">
        <v>68.900000000000006</v>
      </c>
      <c r="J18" s="88">
        <f t="shared" si="10"/>
        <v>107</v>
      </c>
      <c r="K18" s="88">
        <v>8</v>
      </c>
      <c r="L18" s="88">
        <f t="shared" ref="L18:L23" si="15">+J18+K18</f>
        <v>115</v>
      </c>
      <c r="M18" s="88">
        <v>3.2</v>
      </c>
      <c r="N18" s="88">
        <f t="shared" ref="N18:N23" si="16">+L18-M18</f>
        <v>111.8</v>
      </c>
      <c r="O18" s="316">
        <v>118.7</v>
      </c>
      <c r="P18" s="90">
        <f t="shared" si="11"/>
        <v>326.5</v>
      </c>
      <c r="Q18" s="305">
        <f t="shared" si="5"/>
        <v>0.64874999999999994</v>
      </c>
      <c r="R18" s="74">
        <f>+'Cash Flow'!O52/'Income - Continuing Ops'!U18</f>
        <v>3.5331249999999996</v>
      </c>
      <c r="S18" s="74">
        <v>1.02</v>
      </c>
      <c r="T18" s="93">
        <v>20.399999999999999</v>
      </c>
      <c r="U18" s="88">
        <v>160</v>
      </c>
      <c r="V18" s="94"/>
      <c r="W18" s="95">
        <f t="shared" si="12"/>
        <v>0.64874999999999994</v>
      </c>
      <c r="X18" s="75">
        <f t="shared" si="13"/>
        <v>3.5331249999999996</v>
      </c>
      <c r="Y18" s="75">
        <f t="shared" si="13"/>
        <v>1.02</v>
      </c>
      <c r="Z18" s="93">
        <f t="shared" si="14"/>
        <v>20.399999999999999</v>
      </c>
    </row>
    <row r="19" spans="1:26" x14ac:dyDescent="0.25">
      <c r="A19" s="342">
        <v>2010</v>
      </c>
      <c r="B19" s="330">
        <v>2980.2</v>
      </c>
      <c r="C19" s="309">
        <v>599.4</v>
      </c>
      <c r="D19" s="309">
        <v>313.3</v>
      </c>
      <c r="E19" s="309">
        <v>7.6</v>
      </c>
      <c r="F19" s="99">
        <f t="shared" si="9"/>
        <v>278.49999999999994</v>
      </c>
      <c r="G19" s="309">
        <v>37.700000000000003</v>
      </c>
      <c r="H19" s="100">
        <v>5.2</v>
      </c>
      <c r="I19" s="99">
        <v>69.599999999999994</v>
      </c>
      <c r="J19" s="99">
        <f t="shared" si="10"/>
        <v>176.39999999999995</v>
      </c>
      <c r="K19" s="99">
        <v>6.4</v>
      </c>
      <c r="L19" s="99">
        <f t="shared" si="15"/>
        <v>182.79999999999995</v>
      </c>
      <c r="M19" s="99">
        <v>6.2</v>
      </c>
      <c r="N19" s="101">
        <f t="shared" si="16"/>
        <v>176.59999999999997</v>
      </c>
      <c r="O19" s="100">
        <v>111.4</v>
      </c>
      <c r="P19" s="100">
        <f t="shared" si="11"/>
        <v>389.9</v>
      </c>
      <c r="Q19" s="310">
        <f t="shared" ref="Q19:Q25" si="17">(+J19-M19)/U19</f>
        <v>1.1102413568166989</v>
      </c>
      <c r="R19" s="103">
        <f>+'Cash Flow'!O53/'Income - Continuing Ops'!U19</f>
        <v>2.3646444879321589</v>
      </c>
      <c r="S19" s="103">
        <v>1.06</v>
      </c>
      <c r="T19" s="104">
        <v>22.76</v>
      </c>
      <c r="U19" s="99">
        <v>153.30000000000001</v>
      </c>
      <c r="V19" s="105"/>
      <c r="W19" s="106">
        <f t="shared" si="12"/>
        <v>1.1102413568166989</v>
      </c>
      <c r="X19" s="107">
        <f t="shared" si="13"/>
        <v>2.3646444879321589</v>
      </c>
      <c r="Y19" s="107">
        <f t="shared" si="13"/>
        <v>1.06</v>
      </c>
      <c r="Z19" s="104">
        <f t="shared" si="14"/>
        <v>22.76</v>
      </c>
    </row>
    <row r="20" spans="1:26" x14ac:dyDescent="0.25">
      <c r="A20" s="344">
        <v>2011</v>
      </c>
      <c r="B20" s="218">
        <v>3303.2</v>
      </c>
      <c r="C20" s="218">
        <v>630.5</v>
      </c>
      <c r="D20" s="218">
        <v>343.4</v>
      </c>
      <c r="E20" s="218">
        <v>21.3</v>
      </c>
      <c r="F20" s="88">
        <f t="shared" si="9"/>
        <v>265.8</v>
      </c>
      <c r="G20" s="218">
        <v>38.1</v>
      </c>
      <c r="H20" s="90">
        <v>6.7</v>
      </c>
      <c r="I20" s="88">
        <v>61.5</v>
      </c>
      <c r="J20" s="88">
        <f t="shared" si="10"/>
        <v>172.9</v>
      </c>
      <c r="K20" s="88">
        <v>-16.5</v>
      </c>
      <c r="L20" s="88">
        <f t="shared" si="15"/>
        <v>156.4</v>
      </c>
      <c r="M20" s="88">
        <v>3.1</v>
      </c>
      <c r="N20" s="272">
        <f t="shared" si="16"/>
        <v>153.30000000000001</v>
      </c>
      <c r="O20" s="88">
        <v>105.4</v>
      </c>
      <c r="P20" s="328">
        <f t="shared" si="11"/>
        <v>371.20000000000005</v>
      </c>
      <c r="Q20" s="215">
        <f t="shared" si="17"/>
        <v>1.1551020408163266</v>
      </c>
      <c r="R20" s="74">
        <f>+'Cash Flow'!O54/'Income - Continuing Ops'!U20</f>
        <v>2.2374149659863942</v>
      </c>
      <c r="S20" s="74">
        <v>1.1000000000000001</v>
      </c>
      <c r="T20" s="275">
        <v>23.04</v>
      </c>
      <c r="U20" s="88">
        <v>147</v>
      </c>
      <c r="V20" s="331"/>
      <c r="W20" s="75">
        <f t="shared" si="12"/>
        <v>1.1551020408163266</v>
      </c>
      <c r="X20" s="75">
        <f t="shared" ref="X20:Y27" si="18">+R20</f>
        <v>2.2374149659863942</v>
      </c>
      <c r="Y20" s="75">
        <f t="shared" si="18"/>
        <v>1.1000000000000001</v>
      </c>
      <c r="Z20" s="275">
        <f t="shared" si="14"/>
        <v>23.04</v>
      </c>
    </row>
    <row r="21" spans="1:26" x14ac:dyDescent="0.25">
      <c r="A21" s="343">
        <v>2012</v>
      </c>
      <c r="B21" s="218">
        <v>3414.5</v>
      </c>
      <c r="C21" s="218">
        <v>695.6</v>
      </c>
      <c r="D21" s="218">
        <v>348.1</v>
      </c>
      <c r="E21" s="218">
        <v>23.1</v>
      </c>
      <c r="F21" s="88">
        <f t="shared" si="9"/>
        <v>324.39999999999998</v>
      </c>
      <c r="G21" s="218">
        <v>43.4</v>
      </c>
      <c r="H21" s="90">
        <v>6.5</v>
      </c>
      <c r="I21" s="88">
        <v>55.7</v>
      </c>
      <c r="J21" s="88">
        <f t="shared" si="10"/>
        <v>231.8</v>
      </c>
      <c r="K21" s="88">
        <v>18.7</v>
      </c>
      <c r="L21" s="88">
        <f t="shared" si="15"/>
        <v>250.5</v>
      </c>
      <c r="M21" s="88">
        <v>2.2999999999999998</v>
      </c>
      <c r="N21" s="91">
        <f t="shared" si="16"/>
        <v>248.2</v>
      </c>
      <c r="O21" s="88">
        <v>111.4</v>
      </c>
      <c r="P21" s="319">
        <f t="shared" si="11"/>
        <v>435.79999999999995</v>
      </c>
      <c r="Q21" s="215">
        <f t="shared" si="17"/>
        <v>1.571917808219178</v>
      </c>
      <c r="R21" s="74">
        <f>+'Cash Flow'!O55/'Income - Continuing Ops'!U21</f>
        <v>3.0801369863013699</v>
      </c>
      <c r="S21" s="74">
        <v>1.1399999999999999</v>
      </c>
      <c r="T21" s="93">
        <v>27.22</v>
      </c>
      <c r="U21" s="88">
        <v>146</v>
      </c>
      <c r="V21" s="332"/>
      <c r="W21" s="75">
        <f t="shared" si="12"/>
        <v>1.571917808219178</v>
      </c>
      <c r="X21" s="75">
        <f t="shared" si="18"/>
        <v>3.0801369863013699</v>
      </c>
      <c r="Y21" s="75">
        <f t="shared" si="18"/>
        <v>1.1399999999999999</v>
      </c>
      <c r="Z21" s="93">
        <f t="shared" si="14"/>
        <v>27.22</v>
      </c>
    </row>
    <row r="22" spans="1:26" x14ac:dyDescent="0.25">
      <c r="A22" s="343">
        <v>2013</v>
      </c>
      <c r="B22" s="218">
        <v>3477.2</v>
      </c>
      <c r="C22" s="218">
        <v>709.9</v>
      </c>
      <c r="D22" s="218">
        <v>367.9</v>
      </c>
      <c r="E22" s="218">
        <v>67.400000000000006</v>
      </c>
      <c r="F22" s="88">
        <f t="shared" si="9"/>
        <v>274.60000000000002</v>
      </c>
      <c r="G22" s="218">
        <v>44.7</v>
      </c>
      <c r="H22" s="90">
        <v>7.7</v>
      </c>
      <c r="I22" s="88">
        <v>51.3</v>
      </c>
      <c r="J22" s="88">
        <f t="shared" si="10"/>
        <v>186.3</v>
      </c>
      <c r="K22" s="88">
        <v>13.4</v>
      </c>
      <c r="L22" s="88">
        <f t="shared" si="15"/>
        <v>199.70000000000002</v>
      </c>
      <c r="M22" s="88">
        <v>2.4</v>
      </c>
      <c r="N22" s="91">
        <f t="shared" si="16"/>
        <v>197.3</v>
      </c>
      <c r="O22" s="88">
        <v>116.5</v>
      </c>
      <c r="P22" s="319">
        <f t="shared" si="11"/>
        <v>391.1</v>
      </c>
      <c r="Q22" s="215">
        <f t="shared" si="17"/>
        <v>1.2493206521739131</v>
      </c>
      <c r="R22" s="74">
        <f>+'Cash Flow'!O56/'Income - Continuing Ops'!U22</f>
        <v>2.8322010869565215</v>
      </c>
      <c r="S22" s="74">
        <v>1.18</v>
      </c>
      <c r="T22" s="93">
        <v>30.94</v>
      </c>
      <c r="U22" s="88">
        <v>147.19999999999999</v>
      </c>
      <c r="V22" s="332"/>
      <c r="W22" s="75">
        <f t="shared" si="12"/>
        <v>1.2493206521739131</v>
      </c>
      <c r="X22" s="75">
        <f t="shared" si="18"/>
        <v>2.8322010869565215</v>
      </c>
      <c r="Y22" s="75">
        <f t="shared" si="18"/>
        <v>1.18</v>
      </c>
      <c r="Z22" s="93">
        <f t="shared" si="14"/>
        <v>30.94</v>
      </c>
    </row>
    <row r="23" spans="1:26" x14ac:dyDescent="0.25">
      <c r="A23" s="373">
        <v>2014</v>
      </c>
      <c r="B23" s="218">
        <v>3782.3</v>
      </c>
      <c r="C23" s="218">
        <v>790.4</v>
      </c>
      <c r="D23" s="218">
        <v>449.6</v>
      </c>
      <c r="E23" s="218">
        <f>19.7-10.4</f>
        <v>9.2999999999999989</v>
      </c>
      <c r="F23" s="88">
        <f t="shared" si="9"/>
        <v>331.49999999999994</v>
      </c>
      <c r="G23" s="218">
        <v>41.8</v>
      </c>
      <c r="H23" s="90">
        <v>5.8</v>
      </c>
      <c r="I23" s="88">
        <v>70.3</v>
      </c>
      <c r="J23" s="88">
        <f t="shared" si="10"/>
        <v>225.19999999999993</v>
      </c>
      <c r="K23" s="88">
        <v>-124</v>
      </c>
      <c r="L23" s="88">
        <f t="shared" si="15"/>
        <v>101.19999999999993</v>
      </c>
      <c r="M23" s="88">
        <v>3.2</v>
      </c>
      <c r="N23" s="91">
        <f t="shared" si="16"/>
        <v>97.999999999999929</v>
      </c>
      <c r="O23" s="88">
        <v>117.9</v>
      </c>
      <c r="P23" s="319">
        <f t="shared" si="11"/>
        <v>449.4</v>
      </c>
      <c r="Q23" s="215">
        <f t="shared" si="17"/>
        <v>1.5502793296089383</v>
      </c>
      <c r="R23" s="74">
        <f>+'Cash Flow'!O57/'Income - Continuing Ops'!U23</f>
        <v>2.6668994413407825</v>
      </c>
      <c r="S23" s="74">
        <v>1.22</v>
      </c>
      <c r="T23" s="93">
        <v>42.61</v>
      </c>
      <c r="U23" s="88">
        <v>143.19999999999999</v>
      </c>
      <c r="V23" s="332"/>
      <c r="W23" s="75">
        <f t="shared" si="12"/>
        <v>1.5502793296089383</v>
      </c>
      <c r="X23" s="75">
        <f t="shared" si="18"/>
        <v>2.6668994413407825</v>
      </c>
      <c r="Y23" s="75">
        <f t="shared" si="18"/>
        <v>1.22</v>
      </c>
      <c r="Z23" s="93">
        <f t="shared" si="14"/>
        <v>42.61</v>
      </c>
    </row>
    <row r="24" spans="1:26" ht="14.5" x14ac:dyDescent="0.25">
      <c r="A24" s="374" t="s">
        <v>239</v>
      </c>
      <c r="B24" s="309">
        <v>3917.2</v>
      </c>
      <c r="C24" s="309">
        <v>876.8</v>
      </c>
      <c r="D24" s="309">
        <v>416.9</v>
      </c>
      <c r="E24" s="309">
        <v>23.8</v>
      </c>
      <c r="F24" s="100">
        <f t="shared" ref="F24:F29" si="19">C24-D24-E24</f>
        <v>436.09999999999997</v>
      </c>
      <c r="G24" s="309">
        <v>41.1</v>
      </c>
      <c r="H24" s="100">
        <v>4.4000000000000004</v>
      </c>
      <c r="I24" s="100">
        <v>102.7</v>
      </c>
      <c r="J24" s="100">
        <f t="shared" ref="J24:J29" si="20">F24-G24+H24-I24</f>
        <v>296.69999999999993</v>
      </c>
      <c r="K24" s="99">
        <v>1.2</v>
      </c>
      <c r="L24" s="99">
        <f t="shared" ref="L24:L29" si="21">+J24+K24</f>
        <v>297.89999999999992</v>
      </c>
      <c r="M24" s="99">
        <v>4.0999999999999996</v>
      </c>
      <c r="N24" s="101">
        <f t="shared" ref="N24:N29" si="22">+L24-M24</f>
        <v>293.7999999999999</v>
      </c>
      <c r="O24" s="99">
        <v>113.2</v>
      </c>
      <c r="P24" s="326">
        <f t="shared" ref="P24:P29" si="23">F24+O24</f>
        <v>549.29999999999995</v>
      </c>
      <c r="Q24" s="311">
        <f t="shared" si="17"/>
        <v>2.0475857242827145</v>
      </c>
      <c r="R24" s="103">
        <f>+'Cash Flow'!O58/'Income - Continuing Ops'!U24</f>
        <v>2.5129461161651503</v>
      </c>
      <c r="S24" s="103">
        <v>1.26</v>
      </c>
      <c r="T24" s="104">
        <v>42.02</v>
      </c>
      <c r="U24" s="99">
        <v>142.9</v>
      </c>
      <c r="V24" s="333"/>
      <c r="W24" s="107">
        <f t="shared" ref="W24:W29" si="24">Q24</f>
        <v>2.0475857242827145</v>
      </c>
      <c r="X24" s="107">
        <f t="shared" si="18"/>
        <v>2.5129461161651503</v>
      </c>
      <c r="Y24" s="107">
        <f t="shared" si="18"/>
        <v>1.26</v>
      </c>
      <c r="Z24" s="104">
        <f>T24</f>
        <v>42.02</v>
      </c>
    </row>
    <row r="25" spans="1:26" ht="14.5" x14ac:dyDescent="0.25">
      <c r="A25" s="400" t="s">
        <v>234</v>
      </c>
      <c r="B25" s="218">
        <v>3749.9</v>
      </c>
      <c r="C25" s="218">
        <v>913.4</v>
      </c>
      <c r="D25" s="218">
        <v>395.7</v>
      </c>
      <c r="E25" s="218">
        <v>-18</v>
      </c>
      <c r="F25" s="90">
        <f t="shared" si="19"/>
        <v>535.70000000000005</v>
      </c>
      <c r="G25" s="218">
        <v>38.799999999999997</v>
      </c>
      <c r="H25" s="90">
        <v>3.9</v>
      </c>
      <c r="I25" s="90">
        <v>125.2</v>
      </c>
      <c r="J25" s="90">
        <f t="shared" si="20"/>
        <v>375.6</v>
      </c>
      <c r="K25" s="88">
        <v>19.100000000000001</v>
      </c>
      <c r="L25" s="88">
        <f t="shared" si="21"/>
        <v>394.70000000000005</v>
      </c>
      <c r="M25" s="88">
        <v>0.4</v>
      </c>
      <c r="N25" s="272">
        <f t="shared" si="22"/>
        <v>394.30000000000007</v>
      </c>
      <c r="O25" s="88">
        <v>115.4</v>
      </c>
      <c r="P25" s="328">
        <f t="shared" si="23"/>
        <v>651.1</v>
      </c>
      <c r="Q25" s="215">
        <f t="shared" si="17"/>
        <v>2.68</v>
      </c>
      <c r="R25" s="74">
        <f>'Cash Flow (2)'!O10/'Income - Continuing Ops'!U25</f>
        <v>3.9471428571428575</v>
      </c>
      <c r="S25" s="74">
        <v>1.34</v>
      </c>
      <c r="T25" s="275">
        <v>48.88</v>
      </c>
      <c r="U25" s="88">
        <v>140</v>
      </c>
      <c r="V25" s="331"/>
      <c r="W25" s="75">
        <f t="shared" si="24"/>
        <v>2.68</v>
      </c>
      <c r="X25" s="75">
        <f t="shared" si="18"/>
        <v>3.9471428571428575</v>
      </c>
      <c r="Y25" s="75">
        <f t="shared" si="18"/>
        <v>1.34</v>
      </c>
      <c r="Z25" s="275">
        <f>T25</f>
        <v>48.88</v>
      </c>
    </row>
    <row r="26" spans="1:26" ht="14.5" x14ac:dyDescent="0.25">
      <c r="A26" s="373" t="s">
        <v>235</v>
      </c>
      <c r="B26" s="218">
        <v>3943.8</v>
      </c>
      <c r="C26" s="218">
        <v>896.6</v>
      </c>
      <c r="D26" s="218">
        <v>400.5</v>
      </c>
      <c r="E26" s="218">
        <v>13.8</v>
      </c>
      <c r="F26" s="90">
        <f t="shared" si="19"/>
        <v>482.3</v>
      </c>
      <c r="G26" s="218">
        <v>43.5</v>
      </c>
      <c r="H26" s="90">
        <v>7.6</v>
      </c>
      <c r="I26" s="90">
        <v>138.4</v>
      </c>
      <c r="J26" s="90">
        <f t="shared" si="20"/>
        <v>308</v>
      </c>
      <c r="K26" s="90">
        <v>-0.9</v>
      </c>
      <c r="L26" s="88">
        <f t="shared" si="21"/>
        <v>307.10000000000002</v>
      </c>
      <c r="M26" s="88">
        <v>0.1</v>
      </c>
      <c r="N26" s="91">
        <f t="shared" si="22"/>
        <v>307</v>
      </c>
      <c r="O26" s="88">
        <v>125.9</v>
      </c>
      <c r="P26" s="319">
        <f t="shared" si="23"/>
        <v>608.20000000000005</v>
      </c>
      <c r="Q26" s="215">
        <f>(+J26-M26)/U26+0.01</f>
        <v>2.2525345957756731</v>
      </c>
      <c r="R26" s="74">
        <f>'Cash Flow (2)'!O11/'Income - Continuing Ops'!U26</f>
        <v>3.2316096139839767</v>
      </c>
      <c r="S26" s="74">
        <v>1.42</v>
      </c>
      <c r="T26" s="93">
        <v>47.73</v>
      </c>
      <c r="U26" s="88">
        <v>137.30000000000001</v>
      </c>
      <c r="V26" s="332"/>
      <c r="W26" s="75">
        <f t="shared" si="24"/>
        <v>2.2525345957756731</v>
      </c>
      <c r="X26" s="75">
        <f t="shared" si="18"/>
        <v>3.2316096139839767</v>
      </c>
      <c r="Y26" s="75">
        <f t="shared" si="18"/>
        <v>1.42</v>
      </c>
      <c r="Z26" s="93">
        <f>T26</f>
        <v>47.73</v>
      </c>
    </row>
    <row r="27" spans="1:26" ht="14.5" x14ac:dyDescent="0.25">
      <c r="A27" s="398" t="s">
        <v>236</v>
      </c>
      <c r="B27" s="218">
        <v>4269.5</v>
      </c>
      <c r="C27" s="218">
        <v>912.1</v>
      </c>
      <c r="D27" s="218">
        <v>425.1</v>
      </c>
      <c r="E27" s="218">
        <v>26.7</v>
      </c>
      <c r="F27" s="90">
        <f t="shared" si="19"/>
        <v>460.3</v>
      </c>
      <c r="G27" s="218">
        <v>60.9</v>
      </c>
      <c r="H27" s="90">
        <v>8.4</v>
      </c>
      <c r="I27" s="90">
        <v>84.1</v>
      </c>
      <c r="J27" s="90">
        <f t="shared" si="20"/>
        <v>323.70000000000005</v>
      </c>
      <c r="K27" s="90">
        <v>0</v>
      </c>
      <c r="L27" s="90">
        <f t="shared" si="21"/>
        <v>323.70000000000005</v>
      </c>
      <c r="M27" s="90">
        <v>0.2</v>
      </c>
      <c r="N27" s="319">
        <f t="shared" si="22"/>
        <v>323.50000000000006</v>
      </c>
      <c r="O27" s="90">
        <v>136.1</v>
      </c>
      <c r="P27" s="319">
        <f t="shared" si="23"/>
        <v>596.4</v>
      </c>
      <c r="Q27" s="215">
        <f t="shared" ref="Q27:Q31" si="25">(+J27-M27)/U27</f>
        <v>2.3927514792899416</v>
      </c>
      <c r="R27" s="74">
        <f>'Cash Flow (2)'!O12/'Income - Continuing Ops'!U27</f>
        <v>3.2566568047337281</v>
      </c>
      <c r="S27" s="74">
        <v>1.5</v>
      </c>
      <c r="T27" s="93">
        <v>35.840000000000003</v>
      </c>
      <c r="U27" s="88">
        <v>135.19999999999999</v>
      </c>
      <c r="V27" s="332"/>
      <c r="W27" s="75">
        <f t="shared" si="24"/>
        <v>2.3927514792899416</v>
      </c>
      <c r="X27" s="75">
        <f t="shared" si="18"/>
        <v>3.2566568047337281</v>
      </c>
      <c r="Y27" s="75">
        <f t="shared" si="18"/>
        <v>1.5</v>
      </c>
      <c r="Z27" s="93">
        <f>T27</f>
        <v>35.840000000000003</v>
      </c>
    </row>
    <row r="28" spans="1:26" ht="14.5" x14ac:dyDescent="0.25">
      <c r="A28" s="398" t="s">
        <v>237</v>
      </c>
      <c r="B28" s="218">
        <v>4752.5</v>
      </c>
      <c r="C28" s="218">
        <v>1024</v>
      </c>
      <c r="D28" s="218">
        <v>469.7</v>
      </c>
      <c r="E28" s="218">
        <v>67.5</v>
      </c>
      <c r="F28" s="90">
        <f t="shared" si="19"/>
        <v>486.79999999999995</v>
      </c>
      <c r="G28" s="218">
        <v>90.7</v>
      </c>
      <c r="H28" s="90">
        <v>7.4</v>
      </c>
      <c r="I28" s="90">
        <v>89.4</v>
      </c>
      <c r="J28" s="90">
        <f t="shared" si="20"/>
        <v>314.09999999999991</v>
      </c>
      <c r="K28" s="88">
        <v>0</v>
      </c>
      <c r="L28" s="88">
        <f t="shared" si="21"/>
        <v>314.09999999999991</v>
      </c>
      <c r="M28" s="88">
        <v>0.1</v>
      </c>
      <c r="N28" s="91">
        <f t="shared" si="22"/>
        <v>313.99999999999989</v>
      </c>
      <c r="O28" s="88">
        <v>191.9</v>
      </c>
      <c r="P28" s="319">
        <f t="shared" si="23"/>
        <v>678.69999999999993</v>
      </c>
      <c r="Q28" s="215">
        <f t="shared" si="25"/>
        <v>2.3190546528803537</v>
      </c>
      <c r="R28" s="74">
        <f>'Cash Flow (2)'!O13/'Income - Continuing Ops'!U28</f>
        <v>4.9335302806499257</v>
      </c>
      <c r="S28" s="74">
        <v>1.58</v>
      </c>
      <c r="T28" s="93">
        <v>50.83</v>
      </c>
      <c r="U28" s="88">
        <v>135.4</v>
      </c>
      <c r="V28" s="332"/>
      <c r="W28" s="75">
        <f t="shared" si="24"/>
        <v>2.3190546528803537</v>
      </c>
      <c r="X28" s="75">
        <f t="shared" ref="X28:X33" si="26">+R28</f>
        <v>4.9335302806499257</v>
      </c>
      <c r="Y28" s="75">
        <v>1.58</v>
      </c>
      <c r="Z28" s="93">
        <v>50.83</v>
      </c>
    </row>
    <row r="29" spans="1:26" ht="14.5" x14ac:dyDescent="0.25">
      <c r="A29" s="253" t="s">
        <v>238</v>
      </c>
      <c r="B29" s="309">
        <v>4280.2</v>
      </c>
      <c r="C29" s="309">
        <v>904.1</v>
      </c>
      <c r="D29" s="309">
        <v>424.4</v>
      </c>
      <c r="E29" s="309">
        <v>72.2</v>
      </c>
      <c r="F29" s="100">
        <f t="shared" si="19"/>
        <v>407.50000000000006</v>
      </c>
      <c r="G29" s="309">
        <v>82.7</v>
      </c>
      <c r="H29" s="100">
        <v>3.1</v>
      </c>
      <c r="I29" s="100">
        <v>74.8</v>
      </c>
      <c r="J29" s="100">
        <f t="shared" si="20"/>
        <v>253.10000000000008</v>
      </c>
      <c r="K29" s="99">
        <v>0</v>
      </c>
      <c r="L29" s="99">
        <f t="shared" si="21"/>
        <v>253.10000000000008</v>
      </c>
      <c r="M29" s="99">
        <v>0.1</v>
      </c>
      <c r="N29" s="101">
        <f t="shared" si="22"/>
        <v>253.00000000000009</v>
      </c>
      <c r="O29" s="99">
        <v>189.4</v>
      </c>
      <c r="P29" s="326">
        <f t="shared" si="23"/>
        <v>596.90000000000009</v>
      </c>
      <c r="Q29" s="311">
        <f t="shared" si="25"/>
        <v>1.8616629874908026</v>
      </c>
      <c r="R29" s="74">
        <f>'Cash Flow (2)'!O14/'Income - Continuing Ops'!U29</f>
        <v>4.434142752023547</v>
      </c>
      <c r="S29" s="103">
        <v>1.6</v>
      </c>
      <c r="T29" s="104">
        <v>44.3</v>
      </c>
      <c r="U29" s="99">
        <v>135.9</v>
      </c>
      <c r="V29" s="333"/>
      <c r="W29" s="315">
        <f t="shared" si="24"/>
        <v>1.8616629874908026</v>
      </c>
      <c r="X29" s="315">
        <f t="shared" si="26"/>
        <v>4.434142752023547</v>
      </c>
      <c r="Y29" s="107">
        <v>1.6</v>
      </c>
      <c r="Z29" s="104">
        <v>44.3</v>
      </c>
    </row>
    <row r="30" spans="1:26" x14ac:dyDescent="0.25">
      <c r="A30" s="344">
        <v>2021</v>
      </c>
      <c r="B30" s="218">
        <v>5072.6000000000004</v>
      </c>
      <c r="C30" s="218">
        <v>1038.3</v>
      </c>
      <c r="D30" s="218">
        <v>422.1</v>
      </c>
      <c r="E30" s="218">
        <v>20.2</v>
      </c>
      <c r="F30" s="88">
        <f t="shared" ref="F30:F32" si="27">C30-D30-E30</f>
        <v>595.99999999999989</v>
      </c>
      <c r="G30" s="218">
        <v>76.5</v>
      </c>
      <c r="H30" s="90">
        <v>2.6</v>
      </c>
      <c r="I30" s="88">
        <v>119.5</v>
      </c>
      <c r="J30" s="88">
        <f t="shared" ref="J30:J32" si="28">F30-G30+H30-I30</f>
        <v>402.59999999999991</v>
      </c>
      <c r="K30" s="88">
        <v>0</v>
      </c>
      <c r="L30" s="88">
        <f t="shared" ref="L30:L32" si="29">+J30+K30</f>
        <v>402.59999999999991</v>
      </c>
      <c r="M30" s="88">
        <v>0.2</v>
      </c>
      <c r="N30" s="272">
        <f t="shared" ref="N30:N32" si="30">+L30-M30</f>
        <v>402.39999999999992</v>
      </c>
      <c r="O30" s="88">
        <v>187.3</v>
      </c>
      <c r="P30" s="328">
        <f t="shared" ref="P30:P32" si="31">F30+O30</f>
        <v>783.3</v>
      </c>
      <c r="Q30" s="215">
        <f t="shared" si="25"/>
        <v>2.9436722750548645</v>
      </c>
      <c r="R30" s="74">
        <f>'Cash Flow (2)'!O15/'Income - Continuing Ops'!U30</f>
        <v>1.9846378931967812</v>
      </c>
      <c r="S30" s="74">
        <v>1.66</v>
      </c>
      <c r="T30" s="275">
        <v>41.16</v>
      </c>
      <c r="U30" s="88">
        <v>136.69999999999999</v>
      </c>
      <c r="V30" s="331"/>
      <c r="W30" s="75">
        <f t="shared" ref="W30" si="32">Q30</f>
        <v>2.9436722750548645</v>
      </c>
      <c r="X30" s="75">
        <f t="shared" si="26"/>
        <v>1.9846378931967812</v>
      </c>
      <c r="Y30" s="75">
        <v>1.66</v>
      </c>
      <c r="Z30" s="275">
        <v>41.16</v>
      </c>
    </row>
    <row r="31" spans="1:26" x14ac:dyDescent="0.25">
      <c r="A31" s="11">
        <v>2022</v>
      </c>
      <c r="B31" s="218">
        <v>5146.7</v>
      </c>
      <c r="C31" s="218">
        <v>976.8</v>
      </c>
      <c r="D31" s="218">
        <v>427.3</v>
      </c>
      <c r="E31" s="218">
        <v>64.5</v>
      </c>
      <c r="F31" s="88">
        <f t="shared" si="27"/>
        <v>485</v>
      </c>
      <c r="G31" s="218">
        <v>85.5</v>
      </c>
      <c r="H31" s="90">
        <v>4.0999999999999996</v>
      </c>
      <c r="I31" s="88">
        <v>93.7</v>
      </c>
      <c r="J31" s="88">
        <f t="shared" si="28"/>
        <v>309.90000000000003</v>
      </c>
      <c r="K31" s="88">
        <v>0</v>
      </c>
      <c r="L31" s="88">
        <f t="shared" si="29"/>
        <v>309.90000000000003</v>
      </c>
      <c r="M31" s="88">
        <v>0</v>
      </c>
      <c r="N31" s="91">
        <f t="shared" si="30"/>
        <v>309.90000000000003</v>
      </c>
      <c r="O31" s="88">
        <v>179.8</v>
      </c>
      <c r="P31" s="319">
        <f t="shared" si="31"/>
        <v>664.8</v>
      </c>
      <c r="Q31" s="215">
        <f t="shared" si="25"/>
        <v>2.2703296703296707</v>
      </c>
      <c r="R31" s="74">
        <f>'Cash Flow (2)'!O16/'Income - Continuing Ops'!U31</f>
        <v>3.2336996336996333</v>
      </c>
      <c r="S31" s="74">
        <v>1.74</v>
      </c>
      <c r="T31" s="93">
        <v>32.229999999999997</v>
      </c>
      <c r="U31" s="88">
        <v>136.5</v>
      </c>
      <c r="V31" s="332"/>
      <c r="W31" s="75">
        <f t="shared" ref="W31:W32" si="33">Q31</f>
        <v>2.2703296703296707</v>
      </c>
      <c r="X31" s="75">
        <f t="shared" si="26"/>
        <v>3.2336996336996333</v>
      </c>
      <c r="Y31" s="217">
        <v>1.74</v>
      </c>
      <c r="Z31" s="306">
        <v>32.229999999999997</v>
      </c>
    </row>
    <row r="32" spans="1:26" x14ac:dyDescent="0.25">
      <c r="A32" s="11">
        <v>2023</v>
      </c>
      <c r="B32" s="218">
        <v>4725.3</v>
      </c>
      <c r="C32" s="218">
        <v>853.8</v>
      </c>
      <c r="D32" s="218">
        <v>465.4</v>
      </c>
      <c r="E32" s="218">
        <v>478.8</v>
      </c>
      <c r="F32" s="88">
        <f t="shared" si="27"/>
        <v>-90.400000000000034</v>
      </c>
      <c r="G32" s="218">
        <v>88.4</v>
      </c>
      <c r="H32" s="90">
        <v>5.4</v>
      </c>
      <c r="I32" s="88">
        <v>-36.6</v>
      </c>
      <c r="J32" s="88">
        <f t="shared" si="28"/>
        <v>-136.80000000000004</v>
      </c>
      <c r="K32" s="88">
        <v>0</v>
      </c>
      <c r="L32" s="88">
        <f t="shared" si="29"/>
        <v>-136.80000000000004</v>
      </c>
      <c r="M32" s="88">
        <v>0</v>
      </c>
      <c r="N32" s="91">
        <f t="shared" si="30"/>
        <v>-136.80000000000004</v>
      </c>
      <c r="O32" s="88">
        <v>179.9</v>
      </c>
      <c r="P32" s="319">
        <f t="shared" si="31"/>
        <v>89.499999999999972</v>
      </c>
      <c r="Q32" s="215">
        <f>(+J32-M32)/U32</f>
        <v>-1.0036683785766694</v>
      </c>
      <c r="R32" s="74">
        <f>'Cash Flow (2)'!O17/'Income - Continuing Ops'!U32</f>
        <v>3.6478356566397654</v>
      </c>
      <c r="S32" s="74">
        <v>1.82</v>
      </c>
      <c r="T32" s="93">
        <v>26.17</v>
      </c>
      <c r="U32" s="88">
        <v>136.30000000000001</v>
      </c>
      <c r="V32" s="332"/>
      <c r="W32" s="75">
        <f t="shared" si="33"/>
        <v>-1.0036683785766694</v>
      </c>
      <c r="X32" s="75">
        <f t="shared" si="26"/>
        <v>3.6478356566397654</v>
      </c>
      <c r="Y32" s="217">
        <v>1.82</v>
      </c>
      <c r="Z32" s="306">
        <v>26.17</v>
      </c>
    </row>
    <row r="33" spans="1:26" x14ac:dyDescent="0.25">
      <c r="A33" s="11">
        <v>2024</v>
      </c>
      <c r="B33" s="218">
        <v>4383.6000000000004</v>
      </c>
      <c r="C33" s="218">
        <v>749.1</v>
      </c>
      <c r="D33" s="218">
        <v>508.8</v>
      </c>
      <c r="E33" s="218">
        <v>670.2</v>
      </c>
      <c r="F33" s="88">
        <f>C33-D33-E33</f>
        <v>-429.90000000000003</v>
      </c>
      <c r="G33" s="218">
        <v>85.9</v>
      </c>
      <c r="H33" s="90">
        <v>6.6</v>
      </c>
      <c r="I33" s="88">
        <v>2.2000000000000002</v>
      </c>
      <c r="J33" s="88">
        <f>F33-G33+H33-I33</f>
        <v>-511.40000000000003</v>
      </c>
      <c r="K33" s="88">
        <v>0</v>
      </c>
      <c r="L33" s="88">
        <f>+J33+K33</f>
        <v>-511.40000000000003</v>
      </c>
      <c r="M33" s="88">
        <v>0.1</v>
      </c>
      <c r="N33" s="91">
        <f>+L33-M33</f>
        <v>-511.50000000000006</v>
      </c>
      <c r="O33" s="88">
        <v>136</v>
      </c>
      <c r="P33" s="319">
        <f>F33+O33</f>
        <v>-293.90000000000003</v>
      </c>
      <c r="Q33" s="215">
        <f>(+J33-M33)/U33</f>
        <v>-3.725418790968682</v>
      </c>
      <c r="R33" s="74">
        <f>'Cash Flow (2)'!O18/'Income - Continuing Ops'!U33</f>
        <v>2.2265112891478513</v>
      </c>
      <c r="S33" s="74">
        <v>0.61</v>
      </c>
      <c r="T33" s="93">
        <v>9.6</v>
      </c>
      <c r="U33" s="88">
        <v>137.30000000000001</v>
      </c>
      <c r="V33" s="332"/>
      <c r="W33" s="75">
        <f>Q33</f>
        <v>-3.725418790968682</v>
      </c>
      <c r="X33" s="75">
        <f t="shared" si="26"/>
        <v>2.2265112891478513</v>
      </c>
      <c r="Y33" s="217">
        <v>0.61</v>
      </c>
      <c r="Z33" s="443">
        <v>9.6</v>
      </c>
    </row>
    <row r="34" spans="1:26" x14ac:dyDescent="0.25">
      <c r="A34" s="11">
        <v>2025</v>
      </c>
      <c r="B34" s="218">
        <v>4055.1</v>
      </c>
      <c r="C34" s="218">
        <v>744.1</v>
      </c>
      <c r="D34" s="218">
        <v>488.3</v>
      </c>
      <c r="E34" s="218">
        <f>16.2-116.4</f>
        <v>-100.2</v>
      </c>
      <c r="F34" s="475">
        <f>C34-D34-E34</f>
        <v>356</v>
      </c>
      <c r="G34" s="218">
        <v>72.900000000000006</v>
      </c>
      <c r="H34" s="476">
        <v>6.6</v>
      </c>
      <c r="I34" s="475">
        <v>54.3</v>
      </c>
      <c r="J34" s="475">
        <f>F34-G34+H34-I34</f>
        <v>235.40000000000003</v>
      </c>
      <c r="K34" s="475">
        <v>0</v>
      </c>
      <c r="L34" s="475">
        <f>+J34+K34</f>
        <v>235.40000000000003</v>
      </c>
      <c r="M34" s="475">
        <v>0</v>
      </c>
      <c r="N34" s="501">
        <f>+L34-M34</f>
        <v>235.40000000000003</v>
      </c>
      <c r="O34" s="475">
        <v>122.4</v>
      </c>
      <c r="P34" s="502">
        <f>F34+O34</f>
        <v>478.4</v>
      </c>
      <c r="Q34" s="477">
        <f>(+J34-M34)/U34</f>
        <v>1.6850393700787405</v>
      </c>
      <c r="R34" s="503">
        <f>+'Cash Flow (2)'!O19/'Income - Continuing Ops'!U34</f>
        <v>2.4209019327129568</v>
      </c>
      <c r="S34" s="503">
        <v>0.2</v>
      </c>
      <c r="T34" s="504">
        <v>11</v>
      </c>
      <c r="U34" s="476">
        <v>139.69999999999999</v>
      </c>
      <c r="V34" s="505"/>
      <c r="W34" s="478">
        <f>Q34</f>
        <v>1.6850393700787405</v>
      </c>
      <c r="X34" s="478">
        <f>+R34</f>
        <v>2.4209019327129568</v>
      </c>
      <c r="Y34" s="479">
        <v>0.2</v>
      </c>
      <c r="Z34" s="443">
        <v>11</v>
      </c>
    </row>
    <row r="37" spans="1:26" ht="12.75" customHeight="1" x14ac:dyDescent="0.25">
      <c r="A37" s="537" t="s">
        <v>212</v>
      </c>
      <c r="B37" s="543"/>
      <c r="C37" s="543"/>
      <c r="D37" s="543"/>
      <c r="E37" s="543"/>
      <c r="F37" s="543"/>
      <c r="G37" s="543"/>
      <c r="H37" s="543"/>
      <c r="I37" s="543"/>
      <c r="J37" s="543"/>
      <c r="K37" s="543"/>
      <c r="L37" s="543"/>
      <c r="M37" s="543"/>
      <c r="N37" s="543"/>
      <c r="O37" s="543"/>
      <c r="P37" s="543"/>
      <c r="Q37" s="543"/>
      <c r="R37" s="543"/>
      <c r="S37" s="543"/>
      <c r="T37" s="543"/>
      <c r="U37" s="543"/>
      <c r="V37" s="543"/>
      <c r="W37" s="543"/>
      <c r="X37" s="543"/>
      <c r="Y37" s="543"/>
      <c r="Z37" s="544"/>
    </row>
    <row r="38" spans="1:26" ht="12.75" customHeight="1" x14ac:dyDescent="0.25">
      <c r="A38" s="545"/>
      <c r="B38" s="546"/>
      <c r="C38" s="546"/>
      <c r="D38" s="546"/>
      <c r="E38" s="546"/>
      <c r="F38" s="546"/>
      <c r="G38" s="546"/>
      <c r="H38" s="546"/>
      <c r="I38" s="546"/>
      <c r="J38" s="546"/>
      <c r="K38" s="546"/>
      <c r="L38" s="546"/>
      <c r="M38" s="546"/>
      <c r="N38" s="546"/>
      <c r="O38" s="546"/>
      <c r="P38" s="546"/>
      <c r="Q38" s="546"/>
      <c r="R38" s="546"/>
      <c r="S38" s="546"/>
      <c r="T38" s="546"/>
      <c r="U38" s="546"/>
      <c r="V38" s="546"/>
      <c r="W38" s="546"/>
      <c r="X38" s="546"/>
      <c r="Y38" s="546"/>
      <c r="Z38" s="547"/>
    </row>
    <row r="39" spans="1:26" x14ac:dyDescent="0.25">
      <c r="A39" s="60">
        <v>2002</v>
      </c>
      <c r="B39" s="218">
        <f>3395.6-53</f>
        <v>3342.6</v>
      </c>
      <c r="C39" s="218">
        <f>683.2-16.6</f>
        <v>666.6</v>
      </c>
      <c r="D39" s="218">
        <v>325.39999999999998</v>
      </c>
      <c r="E39" s="218">
        <f>16.7-4.9</f>
        <v>11.799999999999999</v>
      </c>
      <c r="F39" s="90">
        <f t="shared" ref="F39:F44" si="34">C39-D39-E39</f>
        <v>329.40000000000003</v>
      </c>
      <c r="G39" s="218">
        <v>39</v>
      </c>
      <c r="H39" s="90">
        <v>4.7</v>
      </c>
      <c r="I39" s="90">
        <f>110.6-4.2</f>
        <v>106.39999999999999</v>
      </c>
      <c r="J39" s="90">
        <f t="shared" ref="J39:J44" si="35">F39-G39+H39-I39</f>
        <v>188.70000000000005</v>
      </c>
      <c r="K39" s="90"/>
      <c r="L39" s="90">
        <f t="shared" ref="L39:L45" si="36">+J39+K39</f>
        <v>188.70000000000005</v>
      </c>
      <c r="M39" s="90"/>
      <c r="N39" s="90">
        <f t="shared" ref="N39:N45" si="37">+L39-M39</f>
        <v>188.70000000000005</v>
      </c>
      <c r="O39" s="87">
        <f>118.9+9.6</f>
        <v>128.5</v>
      </c>
      <c r="P39" s="88">
        <f t="shared" ref="P39:P44" si="38">F39+O39</f>
        <v>457.90000000000003</v>
      </c>
      <c r="Q39" s="305">
        <f t="shared" ref="Q39:Q45" si="39">N39/U39</f>
        <v>0.94444444444444464</v>
      </c>
      <c r="R39" s="215">
        <f>+'Cash Flow'!O45/'Income - Continuing Ops'!U39</f>
        <v>2.2817817817817816</v>
      </c>
      <c r="S39" s="215">
        <v>0.5</v>
      </c>
      <c r="T39" s="306">
        <v>22.44</v>
      </c>
      <c r="U39" s="90">
        <v>199.8</v>
      </c>
      <c r="V39" s="216"/>
      <c r="W39" s="75">
        <f t="shared" ref="W39" si="40">Q39</f>
        <v>0.94444444444444464</v>
      </c>
      <c r="X39" s="75">
        <f>+R39</f>
        <v>2.2817817817817816</v>
      </c>
      <c r="Y39" s="217">
        <f t="shared" ref="Y39:Y44" si="41">+S39</f>
        <v>0.5</v>
      </c>
      <c r="Z39" s="306">
        <f t="shared" ref="Z39:Z44" si="42">T39</f>
        <v>22.44</v>
      </c>
    </row>
    <row r="40" spans="1:26" ht="12.75" customHeight="1" x14ac:dyDescent="0.25">
      <c r="A40" s="60">
        <v>2003</v>
      </c>
      <c r="B40" s="218">
        <v>3468.3</v>
      </c>
      <c r="C40" s="218">
        <v>641</v>
      </c>
      <c r="D40" s="218">
        <v>340.1</v>
      </c>
      <c r="E40" s="218">
        <v>5.3</v>
      </c>
      <c r="F40" s="90">
        <f t="shared" si="34"/>
        <v>295.59999999999997</v>
      </c>
      <c r="G40" s="218">
        <v>43.8</v>
      </c>
      <c r="H40" s="90">
        <v>6.4</v>
      </c>
      <c r="I40" s="90">
        <v>87.9</v>
      </c>
      <c r="J40" s="90">
        <f t="shared" si="35"/>
        <v>170.29999999999993</v>
      </c>
      <c r="K40" s="90"/>
      <c r="L40" s="90">
        <f t="shared" si="36"/>
        <v>170.29999999999993</v>
      </c>
      <c r="M40" s="90"/>
      <c r="N40" s="90">
        <f t="shared" si="37"/>
        <v>170.29999999999993</v>
      </c>
      <c r="O40" s="316">
        <f>123.4+7.9</f>
        <v>131.30000000000001</v>
      </c>
      <c r="P40" s="90">
        <f t="shared" si="38"/>
        <v>426.9</v>
      </c>
      <c r="Q40" s="305">
        <f t="shared" si="39"/>
        <v>0.86446700507614171</v>
      </c>
      <c r="R40" s="215">
        <f>+'Cash Flow'!O46/'Income - Continuing Ops'!U40</f>
        <v>2.0065989847715735</v>
      </c>
      <c r="S40" s="215">
        <v>0.54</v>
      </c>
      <c r="T40" s="306">
        <v>21.63</v>
      </c>
      <c r="U40" s="90">
        <v>197</v>
      </c>
      <c r="V40" s="216"/>
      <c r="W40" s="307">
        <f t="shared" ref="W40:W44" si="43">Q40</f>
        <v>0.86446700507614171</v>
      </c>
      <c r="X40" s="217">
        <f t="shared" ref="X40:X44" si="44">+R40</f>
        <v>2.0065989847715735</v>
      </c>
      <c r="Y40" s="217">
        <f t="shared" si="41"/>
        <v>0.54</v>
      </c>
      <c r="Z40" s="306">
        <f t="shared" si="42"/>
        <v>21.63</v>
      </c>
    </row>
    <row r="41" spans="1:26" ht="12.75" customHeight="1" x14ac:dyDescent="0.25">
      <c r="A41" s="60">
        <v>2004</v>
      </c>
      <c r="B41" s="218">
        <v>4055.1</v>
      </c>
      <c r="C41" s="218">
        <v>761.3</v>
      </c>
      <c r="D41" s="218">
        <v>386.7</v>
      </c>
      <c r="E41" s="218">
        <f>-7.2-1.9</f>
        <v>-9.1</v>
      </c>
      <c r="F41" s="90">
        <f t="shared" si="34"/>
        <v>383.7</v>
      </c>
      <c r="G41" s="218">
        <v>45.6</v>
      </c>
      <c r="H41" s="90">
        <v>6.8</v>
      </c>
      <c r="I41" s="90">
        <v>107.7</v>
      </c>
      <c r="J41" s="90">
        <f t="shared" si="35"/>
        <v>237.2</v>
      </c>
      <c r="K41" s="90"/>
      <c r="L41" s="90">
        <f t="shared" si="36"/>
        <v>237.2</v>
      </c>
      <c r="M41" s="90">
        <v>1.9</v>
      </c>
      <c r="N41" s="90">
        <f t="shared" si="37"/>
        <v>235.29999999999998</v>
      </c>
      <c r="O41" s="316">
        <f>131.3+8.9</f>
        <v>140.20000000000002</v>
      </c>
      <c r="P41" s="90">
        <f t="shared" si="38"/>
        <v>523.9</v>
      </c>
      <c r="Q41" s="305">
        <f t="shared" si="39"/>
        <v>1.1950228542407313</v>
      </c>
      <c r="R41" s="215">
        <f>+'Cash Flow'!O47/'Income - Continuing Ops'!U41</f>
        <v>1.7394616556627727</v>
      </c>
      <c r="S41" s="215">
        <v>0.57999999999999996</v>
      </c>
      <c r="T41" s="306">
        <v>28.43</v>
      </c>
      <c r="U41" s="90">
        <v>196.9</v>
      </c>
      <c r="V41" s="216"/>
      <c r="W41" s="307">
        <f t="shared" si="43"/>
        <v>1.1950228542407313</v>
      </c>
      <c r="X41" s="217">
        <f t="shared" si="44"/>
        <v>1.7394616556627727</v>
      </c>
      <c r="Y41" s="217">
        <f t="shared" si="41"/>
        <v>0.57999999999999996</v>
      </c>
      <c r="Z41" s="306">
        <f t="shared" si="42"/>
        <v>28.43</v>
      </c>
    </row>
    <row r="42" spans="1:26" x14ac:dyDescent="0.25">
      <c r="A42" s="342">
        <v>2005</v>
      </c>
      <c r="B42" s="309">
        <v>4197.1000000000004</v>
      </c>
      <c r="C42" s="309">
        <f>769.5+13+21</f>
        <v>803.5</v>
      </c>
      <c r="D42" s="309">
        <v>389.7</v>
      </c>
      <c r="E42" s="309">
        <f>38.1-(44-13)-3</f>
        <v>4.1000000000000014</v>
      </c>
      <c r="F42" s="100">
        <f t="shared" si="34"/>
        <v>409.7</v>
      </c>
      <c r="G42" s="309">
        <v>45.7</v>
      </c>
      <c r="H42" s="100">
        <v>6.6</v>
      </c>
      <c r="I42" s="100">
        <f>86.5+32</f>
        <v>118.5</v>
      </c>
      <c r="J42" s="100">
        <f t="shared" si="35"/>
        <v>252.10000000000002</v>
      </c>
      <c r="K42" s="100"/>
      <c r="L42" s="100">
        <f t="shared" si="36"/>
        <v>252.10000000000002</v>
      </c>
      <c r="M42" s="100">
        <v>3</v>
      </c>
      <c r="N42" s="100">
        <f t="shared" si="37"/>
        <v>249.10000000000002</v>
      </c>
      <c r="O42" s="322">
        <f>125.6+7.8</f>
        <v>133.4</v>
      </c>
      <c r="P42" s="100">
        <f t="shared" si="38"/>
        <v>543.1</v>
      </c>
      <c r="Q42" s="310">
        <f t="shared" si="39"/>
        <v>1.2868397262043139</v>
      </c>
      <c r="R42" s="311">
        <f>+'Cash Flow'!O48/'Income - Continuing Ops'!U42</f>
        <v>2.3158982306599514</v>
      </c>
      <c r="S42" s="311">
        <v>0.63</v>
      </c>
      <c r="T42" s="312">
        <v>22.96</v>
      </c>
      <c r="U42" s="100">
        <v>193.57499999999999</v>
      </c>
      <c r="V42" s="313"/>
      <c r="W42" s="314">
        <f t="shared" si="43"/>
        <v>1.2868397262043139</v>
      </c>
      <c r="X42" s="315">
        <f t="shared" si="44"/>
        <v>2.3158982306599514</v>
      </c>
      <c r="Y42" s="315">
        <f t="shared" si="41"/>
        <v>0.63</v>
      </c>
      <c r="Z42" s="312">
        <f t="shared" si="42"/>
        <v>22.96</v>
      </c>
    </row>
    <row r="43" spans="1:26" x14ac:dyDescent="0.25">
      <c r="A43" s="343">
        <v>2006</v>
      </c>
      <c r="B43" s="218">
        <v>4266.8999999999996</v>
      </c>
      <c r="C43" s="218">
        <v>802.6</v>
      </c>
      <c r="D43" s="218">
        <f>395.3-12</f>
        <v>383.3</v>
      </c>
      <c r="E43" s="218">
        <f>23.9-(18-4)-3.5</f>
        <v>6.3999999999999986</v>
      </c>
      <c r="F43" s="90">
        <f t="shared" si="34"/>
        <v>412.90000000000003</v>
      </c>
      <c r="G43" s="218">
        <v>54.2</v>
      </c>
      <c r="H43" s="90">
        <v>6.4</v>
      </c>
      <c r="I43" s="90">
        <f>99.5+19</f>
        <v>118.5</v>
      </c>
      <c r="J43" s="90">
        <f t="shared" si="35"/>
        <v>246.60000000000002</v>
      </c>
      <c r="K43" s="90"/>
      <c r="L43" s="90">
        <f t="shared" si="36"/>
        <v>246.60000000000002</v>
      </c>
      <c r="M43" s="88">
        <v>3.5</v>
      </c>
      <c r="N43" s="90">
        <f t="shared" si="37"/>
        <v>243.10000000000002</v>
      </c>
      <c r="O43" s="87">
        <f>119.7+15.7</f>
        <v>135.4</v>
      </c>
      <c r="P43" s="90">
        <f t="shared" si="38"/>
        <v>548.30000000000007</v>
      </c>
      <c r="Q43" s="305">
        <f t="shared" si="39"/>
        <v>1.3013918629550321</v>
      </c>
      <c r="R43" s="215">
        <f>+'Cash Flow'!O49/'Income - Continuing Ops'!U43</f>
        <v>2.5637044967880085</v>
      </c>
      <c r="S43" s="215">
        <v>0.67</v>
      </c>
      <c r="T43" s="306">
        <v>23.9</v>
      </c>
      <c r="U43" s="90">
        <v>186.8</v>
      </c>
      <c r="V43" s="216"/>
      <c r="W43" s="307">
        <f t="shared" si="43"/>
        <v>1.3013918629550321</v>
      </c>
      <c r="X43" s="217">
        <f t="shared" si="44"/>
        <v>2.5637044967880085</v>
      </c>
      <c r="Y43" s="217">
        <f t="shared" si="41"/>
        <v>0.67</v>
      </c>
      <c r="Z43" s="306">
        <f t="shared" si="42"/>
        <v>23.9</v>
      </c>
    </row>
    <row r="44" spans="1:26" x14ac:dyDescent="0.25">
      <c r="A44" s="343">
        <v>2007</v>
      </c>
      <c r="B44" s="218">
        <v>4250</v>
      </c>
      <c r="C44" s="218">
        <f>795.8+5</f>
        <v>800.8</v>
      </c>
      <c r="D44" s="218">
        <f>429.7-12</f>
        <v>417.7</v>
      </c>
      <c r="E44" s="218">
        <f>175.2-(143+2+24-9-5)-5.6</f>
        <v>14.599999999999989</v>
      </c>
      <c r="F44" s="90">
        <f t="shared" si="34"/>
        <v>368.5</v>
      </c>
      <c r="G44" s="218">
        <v>58.6</v>
      </c>
      <c r="H44" s="90">
        <v>9.5</v>
      </c>
      <c r="I44" s="90">
        <f>82.4+15</f>
        <v>97.4</v>
      </c>
      <c r="J44" s="90">
        <f t="shared" si="35"/>
        <v>221.99999999999997</v>
      </c>
      <c r="K44" s="90"/>
      <c r="L44" s="90">
        <f t="shared" si="36"/>
        <v>221.99999999999997</v>
      </c>
      <c r="M44" s="88">
        <v>5.6</v>
      </c>
      <c r="N44" s="90">
        <f t="shared" si="37"/>
        <v>216.39999999999998</v>
      </c>
      <c r="O44" s="87">
        <f>120.2+23.3</f>
        <v>143.5</v>
      </c>
      <c r="P44" s="90">
        <f t="shared" si="38"/>
        <v>512</v>
      </c>
      <c r="Q44" s="305">
        <f t="shared" si="39"/>
        <v>1.2035595105672967</v>
      </c>
      <c r="R44" s="215">
        <f>+'Cash Flow'!O50/'Income - Continuing Ops'!U44</f>
        <v>3.4132369299221357</v>
      </c>
      <c r="S44" s="215">
        <v>0.78</v>
      </c>
      <c r="T44" s="306">
        <v>17.440000000000001</v>
      </c>
      <c r="U44" s="90">
        <v>179.8</v>
      </c>
      <c r="V44" s="216"/>
      <c r="W44" s="307">
        <f t="shared" si="43"/>
        <v>1.2035595105672967</v>
      </c>
      <c r="X44" s="217">
        <f t="shared" si="44"/>
        <v>3.4132369299221357</v>
      </c>
      <c r="Y44" s="217">
        <f t="shared" si="41"/>
        <v>0.78</v>
      </c>
      <c r="Z44" s="306">
        <f t="shared" si="42"/>
        <v>17.440000000000001</v>
      </c>
    </row>
    <row r="45" spans="1:26" x14ac:dyDescent="0.25">
      <c r="A45" s="343">
        <v>2008</v>
      </c>
      <c r="B45" s="218">
        <v>4076.1</v>
      </c>
      <c r="C45" s="218">
        <f>691.2+12</f>
        <v>703.2</v>
      </c>
      <c r="D45" s="218">
        <f>423.2-7</f>
        <v>416.2</v>
      </c>
      <c r="E45" s="218">
        <f>40.3-10-21+3+9-4.6</f>
        <v>16.699999999999996</v>
      </c>
      <c r="F45" s="90">
        <f t="shared" ref="F45:F51" si="45">C45-D45-E45</f>
        <v>270.30000000000007</v>
      </c>
      <c r="G45" s="218">
        <v>48.4</v>
      </c>
      <c r="H45" s="90">
        <v>8.6999999999999993</v>
      </c>
      <c r="I45" s="90">
        <f>65.1+15</f>
        <v>80.099999999999994</v>
      </c>
      <c r="J45" s="90">
        <f t="shared" ref="J45:J51" si="46">F45-G45+H45-I45</f>
        <v>150.50000000000006</v>
      </c>
      <c r="K45" s="90"/>
      <c r="L45" s="90">
        <f t="shared" si="36"/>
        <v>150.50000000000006</v>
      </c>
      <c r="M45" s="88">
        <v>4.5999999999999996</v>
      </c>
      <c r="N45" s="90">
        <f t="shared" si="37"/>
        <v>145.90000000000006</v>
      </c>
      <c r="O45" s="87">
        <v>140.4</v>
      </c>
      <c r="P45" s="90">
        <f t="shared" ref="P45:P51" si="47">F45+O45</f>
        <v>410.70000000000005</v>
      </c>
      <c r="Q45" s="305">
        <f t="shared" si="39"/>
        <v>0.8674197384066592</v>
      </c>
      <c r="R45" s="215">
        <f>+'Cash Flow'!O51/'Income - Continuing Ops'!U45</f>
        <v>2.5933412604042809</v>
      </c>
      <c r="S45" s="215">
        <v>1</v>
      </c>
      <c r="T45" s="306">
        <v>15.19</v>
      </c>
      <c r="U45" s="90">
        <v>168.2</v>
      </c>
      <c r="V45" s="216"/>
      <c r="W45" s="307">
        <f t="shared" ref="W45:W50" si="48">Q45</f>
        <v>0.8674197384066592</v>
      </c>
      <c r="X45" s="217">
        <f t="shared" ref="X45:Y51" si="49">+R45</f>
        <v>2.5933412604042809</v>
      </c>
      <c r="Y45" s="217">
        <f t="shared" si="49"/>
        <v>1</v>
      </c>
      <c r="Z45" s="306">
        <f t="shared" ref="Z45:Z51" si="50">T45</f>
        <v>15.19</v>
      </c>
    </row>
    <row r="46" spans="1:26" x14ac:dyDescent="0.25">
      <c r="A46" s="343">
        <v>2009</v>
      </c>
      <c r="B46" s="218">
        <v>2673</v>
      </c>
      <c r="C46" s="218">
        <v>564.9</v>
      </c>
      <c r="D46" s="218">
        <f>325.5-8</f>
        <v>317.5</v>
      </c>
      <c r="E46" s="218">
        <f>31.6-11</f>
        <v>20.6</v>
      </c>
      <c r="F46" s="90">
        <f t="shared" si="45"/>
        <v>226.79999999999998</v>
      </c>
      <c r="G46" s="218">
        <v>37.299999999999997</v>
      </c>
      <c r="H46" s="90">
        <v>5.4</v>
      </c>
      <c r="I46" s="90">
        <f>68.9-6+2+4</f>
        <v>68.900000000000006</v>
      </c>
      <c r="J46" s="90">
        <f t="shared" si="46"/>
        <v>126</v>
      </c>
      <c r="K46" s="90"/>
      <c r="L46" s="90">
        <f t="shared" ref="L46:L51" si="51">+J46+K46</f>
        <v>126</v>
      </c>
      <c r="M46" s="88">
        <v>3.2</v>
      </c>
      <c r="N46" s="90">
        <f t="shared" ref="N46:N51" si="52">+L46-M46</f>
        <v>122.8</v>
      </c>
      <c r="O46" s="316">
        <v>118.7</v>
      </c>
      <c r="P46" s="90">
        <f t="shared" si="47"/>
        <v>345.5</v>
      </c>
      <c r="Q46" s="305">
        <f>N46/U46</f>
        <v>0.76749999999999996</v>
      </c>
      <c r="R46" s="215">
        <f>+'Cash Flow'!O52/'Income - Continuing Ops'!U46</f>
        <v>3.5331249999999996</v>
      </c>
      <c r="S46" s="215">
        <v>1.02</v>
      </c>
      <c r="T46" s="306">
        <v>20.399999999999999</v>
      </c>
      <c r="U46" s="90">
        <v>160</v>
      </c>
      <c r="V46" s="216"/>
      <c r="W46" s="307">
        <f t="shared" si="48"/>
        <v>0.76749999999999996</v>
      </c>
      <c r="X46" s="217">
        <f t="shared" si="49"/>
        <v>3.5331249999999996</v>
      </c>
      <c r="Y46" s="217">
        <f t="shared" si="49"/>
        <v>1.02</v>
      </c>
      <c r="Z46" s="306">
        <f t="shared" si="50"/>
        <v>20.399999999999999</v>
      </c>
    </row>
    <row r="47" spans="1:26" x14ac:dyDescent="0.25">
      <c r="A47" s="342">
        <v>2010</v>
      </c>
      <c r="B47" s="309">
        <v>2980.2</v>
      </c>
      <c r="C47" s="309">
        <v>599.4</v>
      </c>
      <c r="D47" s="309">
        <v>313.3</v>
      </c>
      <c r="E47" s="309">
        <v>7.6</v>
      </c>
      <c r="F47" s="100">
        <f t="shared" si="45"/>
        <v>278.49999999999994</v>
      </c>
      <c r="G47" s="309">
        <v>37.700000000000003</v>
      </c>
      <c r="H47" s="100">
        <v>5.2</v>
      </c>
      <c r="I47" s="100">
        <v>69.599999999999994</v>
      </c>
      <c r="J47" s="100">
        <f t="shared" si="46"/>
        <v>176.39999999999995</v>
      </c>
      <c r="K47" s="100"/>
      <c r="L47" s="100">
        <f t="shared" si="51"/>
        <v>176.39999999999995</v>
      </c>
      <c r="M47" s="99">
        <v>6.2</v>
      </c>
      <c r="N47" s="326">
        <f t="shared" si="52"/>
        <v>170.19999999999996</v>
      </c>
      <c r="O47" s="100">
        <v>111.4</v>
      </c>
      <c r="P47" s="326">
        <f t="shared" si="47"/>
        <v>389.9</v>
      </c>
      <c r="Q47" s="311">
        <f>N47/U47</f>
        <v>1.1102413568166989</v>
      </c>
      <c r="R47" s="311">
        <f>+'Cash Flow'!O53/'Income - Continuing Ops'!U47</f>
        <v>2.3646444879321589</v>
      </c>
      <c r="S47" s="311">
        <v>1.06</v>
      </c>
      <c r="T47" s="312">
        <v>22.76</v>
      </c>
      <c r="U47" s="100">
        <v>153.30000000000001</v>
      </c>
      <c r="V47" s="327"/>
      <c r="W47" s="315">
        <f t="shared" si="48"/>
        <v>1.1102413568166989</v>
      </c>
      <c r="X47" s="315">
        <f t="shared" si="49"/>
        <v>2.3646444879321589</v>
      </c>
      <c r="Y47" s="315">
        <f t="shared" si="49"/>
        <v>1.06</v>
      </c>
      <c r="Z47" s="312">
        <f t="shared" si="50"/>
        <v>22.76</v>
      </c>
    </row>
    <row r="48" spans="1:26" x14ac:dyDescent="0.25">
      <c r="A48" s="343">
        <v>2011</v>
      </c>
      <c r="B48" s="218">
        <v>3303.2</v>
      </c>
      <c r="C48" s="218">
        <f>630.5+1.1</f>
        <v>631.6</v>
      </c>
      <c r="D48" s="218">
        <v>343.4</v>
      </c>
      <c r="E48" s="218">
        <f>21.3-13.6</f>
        <v>7.7000000000000011</v>
      </c>
      <c r="F48" s="88">
        <f t="shared" si="45"/>
        <v>280.50000000000006</v>
      </c>
      <c r="G48" s="218">
        <v>38.1</v>
      </c>
      <c r="H48" s="90">
        <v>6.7</v>
      </c>
      <c r="I48" s="88">
        <f>61.5+5.3</f>
        <v>66.8</v>
      </c>
      <c r="J48" s="88">
        <f t="shared" si="46"/>
        <v>182.30000000000007</v>
      </c>
      <c r="K48" s="88"/>
      <c r="L48" s="88">
        <f t="shared" si="51"/>
        <v>182.30000000000007</v>
      </c>
      <c r="M48" s="88">
        <v>3.1</v>
      </c>
      <c r="N48" s="272">
        <f t="shared" si="52"/>
        <v>179.20000000000007</v>
      </c>
      <c r="O48" s="88">
        <v>105.4</v>
      </c>
      <c r="P48" s="328">
        <f t="shared" si="47"/>
        <v>385.90000000000009</v>
      </c>
      <c r="Q48" s="215">
        <f t="shared" ref="Q48:Q55" si="53">(+J48-M48)/U48</f>
        <v>1.2190476190476196</v>
      </c>
      <c r="R48" s="74">
        <f>+'Cash Flow'!O54/'Income - Continuing Ops'!U48</f>
        <v>2.2374149659863942</v>
      </c>
      <c r="S48" s="74">
        <v>1.1000000000000001</v>
      </c>
      <c r="T48" s="275">
        <v>23.04</v>
      </c>
      <c r="U48" s="88">
        <v>147</v>
      </c>
      <c r="V48" s="331"/>
      <c r="W48" s="75">
        <f t="shared" si="48"/>
        <v>1.2190476190476196</v>
      </c>
      <c r="X48" s="75">
        <f t="shared" si="49"/>
        <v>2.2374149659863942</v>
      </c>
      <c r="Y48" s="75">
        <f t="shared" si="49"/>
        <v>1.1000000000000001</v>
      </c>
      <c r="Z48" s="275">
        <f t="shared" si="50"/>
        <v>23.04</v>
      </c>
    </row>
    <row r="49" spans="1:27" x14ac:dyDescent="0.25">
      <c r="A49" s="343">
        <v>2012</v>
      </c>
      <c r="B49" s="218">
        <v>3414.5</v>
      </c>
      <c r="C49" s="218">
        <v>695.6</v>
      </c>
      <c r="D49" s="218">
        <v>348.1</v>
      </c>
      <c r="E49" s="218">
        <v>23.1</v>
      </c>
      <c r="F49" s="88">
        <f t="shared" si="45"/>
        <v>324.39999999999998</v>
      </c>
      <c r="G49" s="218">
        <v>43.4</v>
      </c>
      <c r="H49" s="90">
        <v>6.5</v>
      </c>
      <c r="I49" s="88">
        <f>55.7+27</f>
        <v>82.7</v>
      </c>
      <c r="J49" s="88">
        <f t="shared" si="46"/>
        <v>204.8</v>
      </c>
      <c r="K49" s="88"/>
      <c r="L49" s="88">
        <f t="shared" si="51"/>
        <v>204.8</v>
      </c>
      <c r="M49" s="88">
        <v>2.2999999999999998</v>
      </c>
      <c r="N49" s="91">
        <f t="shared" si="52"/>
        <v>202.5</v>
      </c>
      <c r="O49" s="88">
        <v>111.4</v>
      </c>
      <c r="P49" s="319">
        <f t="shared" si="47"/>
        <v>435.79999999999995</v>
      </c>
      <c r="Q49" s="215">
        <f t="shared" si="53"/>
        <v>1.3869863013698631</v>
      </c>
      <c r="R49" s="74">
        <f>+'Cash Flow'!O55/'Income - Continuing Ops'!U49</f>
        <v>3.0801369863013699</v>
      </c>
      <c r="S49" s="74">
        <v>1.1399999999999999</v>
      </c>
      <c r="T49" s="93">
        <v>27.22</v>
      </c>
      <c r="U49" s="88">
        <v>146</v>
      </c>
      <c r="V49" s="332"/>
      <c r="W49" s="75">
        <f t="shared" si="48"/>
        <v>1.3869863013698631</v>
      </c>
      <c r="X49" s="75">
        <f t="shared" si="49"/>
        <v>3.0801369863013699</v>
      </c>
      <c r="Y49" s="75">
        <f t="shared" si="49"/>
        <v>1.1399999999999999</v>
      </c>
      <c r="Z49" s="93">
        <f t="shared" si="50"/>
        <v>27.22</v>
      </c>
    </row>
    <row r="50" spans="1:27" x14ac:dyDescent="0.25">
      <c r="A50" s="343">
        <v>2013</v>
      </c>
      <c r="B50" s="218">
        <v>3477.2</v>
      </c>
      <c r="C50" s="218">
        <v>709.9</v>
      </c>
      <c r="D50" s="218">
        <v>367.9</v>
      </c>
      <c r="E50" s="218">
        <f>67.4-66.8+8.7</f>
        <v>9.3000000000000078</v>
      </c>
      <c r="F50" s="88">
        <f t="shared" si="45"/>
        <v>332.7</v>
      </c>
      <c r="G50" s="218">
        <v>44.7</v>
      </c>
      <c r="H50" s="90">
        <v>7.7</v>
      </c>
      <c r="I50" s="88">
        <f>51.3+21.5</f>
        <v>72.8</v>
      </c>
      <c r="J50" s="88">
        <f t="shared" si="46"/>
        <v>222.89999999999998</v>
      </c>
      <c r="K50" s="88"/>
      <c r="L50" s="88">
        <f t="shared" si="51"/>
        <v>222.89999999999998</v>
      </c>
      <c r="M50" s="88">
        <v>2.4</v>
      </c>
      <c r="N50" s="91">
        <f t="shared" si="52"/>
        <v>220.49999999999997</v>
      </c>
      <c r="O50" s="88">
        <f>116.5-3.8</f>
        <v>112.7</v>
      </c>
      <c r="P50" s="319">
        <f t="shared" si="47"/>
        <v>445.4</v>
      </c>
      <c r="Q50" s="215">
        <f t="shared" si="53"/>
        <v>1.497961956521739</v>
      </c>
      <c r="R50" s="74">
        <f>+'Cash Flow'!O56/'Income - Continuing Ops'!U50</f>
        <v>2.8322010869565215</v>
      </c>
      <c r="S50" s="74">
        <v>1.18</v>
      </c>
      <c r="T50" s="93">
        <v>30.94</v>
      </c>
      <c r="U50" s="88">
        <v>147.19999999999999</v>
      </c>
      <c r="V50" s="332"/>
      <c r="W50" s="75">
        <f t="shared" si="48"/>
        <v>1.497961956521739</v>
      </c>
      <c r="X50" s="75">
        <f t="shared" si="49"/>
        <v>2.8322010869565215</v>
      </c>
      <c r="Y50" s="75">
        <f t="shared" si="49"/>
        <v>1.18</v>
      </c>
      <c r="Z50" s="93">
        <f t="shared" si="50"/>
        <v>30.94</v>
      </c>
    </row>
    <row r="51" spans="1:27" x14ac:dyDescent="0.25">
      <c r="A51" s="373">
        <v>2014</v>
      </c>
      <c r="B51" s="218">
        <v>3782.3</v>
      </c>
      <c r="C51" s="218">
        <v>790.4</v>
      </c>
      <c r="D51" s="218">
        <f>449.6-53.4</f>
        <v>396.20000000000005</v>
      </c>
      <c r="E51" s="218">
        <f>19.7-10.4</f>
        <v>9.2999999999999989</v>
      </c>
      <c r="F51" s="88">
        <f t="shared" si="45"/>
        <v>384.89999999999992</v>
      </c>
      <c r="G51" s="218">
        <v>41.8</v>
      </c>
      <c r="H51" s="90">
        <v>5.8</v>
      </c>
      <c r="I51" s="88">
        <f>70.3+20.3</f>
        <v>90.6</v>
      </c>
      <c r="J51" s="88">
        <f t="shared" si="46"/>
        <v>258.29999999999995</v>
      </c>
      <c r="K51" s="90"/>
      <c r="L51" s="88">
        <f t="shared" si="51"/>
        <v>258.29999999999995</v>
      </c>
      <c r="M51" s="88">
        <v>3.2</v>
      </c>
      <c r="N51" s="91">
        <f t="shared" si="52"/>
        <v>255.09999999999997</v>
      </c>
      <c r="O51" s="88">
        <v>117.9</v>
      </c>
      <c r="P51" s="319">
        <f t="shared" si="47"/>
        <v>502.79999999999995</v>
      </c>
      <c r="Q51" s="215">
        <f t="shared" si="53"/>
        <v>1.7814245810055864</v>
      </c>
      <c r="R51" s="74">
        <f>+'Cash Flow'!O57/'Income - Continuing Ops'!U51</f>
        <v>2.6668994413407825</v>
      </c>
      <c r="S51" s="215">
        <v>1.22</v>
      </c>
      <c r="T51" s="306">
        <v>42.61</v>
      </c>
      <c r="U51" s="90">
        <v>143.19999999999999</v>
      </c>
      <c r="V51" s="329"/>
      <c r="W51" s="75">
        <f>Q51</f>
        <v>1.7814245810055864</v>
      </c>
      <c r="X51" s="75">
        <f t="shared" ref="X51:X57" si="54">+R51</f>
        <v>2.6668994413407825</v>
      </c>
      <c r="Y51" s="217">
        <f t="shared" si="49"/>
        <v>1.22</v>
      </c>
      <c r="Z51" s="306">
        <f t="shared" si="50"/>
        <v>42.61</v>
      </c>
    </row>
    <row r="52" spans="1:27" ht="14.5" x14ac:dyDescent="0.25">
      <c r="A52" s="374" t="s">
        <v>239</v>
      </c>
      <c r="B52" s="309">
        <v>3917.2</v>
      </c>
      <c r="C52" s="309">
        <f>876.8+8.2</f>
        <v>885</v>
      </c>
      <c r="D52" s="309">
        <f>416.9-3.9-5.5</f>
        <v>407.5</v>
      </c>
      <c r="E52" s="309">
        <f>20.8+1.6+6.3-4.9-5.5</f>
        <v>18.300000000000004</v>
      </c>
      <c r="F52" s="99">
        <f t="shared" ref="F52:F57" si="55">C52-D52-E52</f>
        <v>459.2</v>
      </c>
      <c r="G52" s="309">
        <v>41.1</v>
      </c>
      <c r="H52" s="100">
        <v>4.4000000000000004</v>
      </c>
      <c r="I52" s="99">
        <f>102.7+1.9+2+4.6</f>
        <v>111.2</v>
      </c>
      <c r="J52" s="99">
        <f t="shared" ref="J52:J57" si="56">F52-G52+H52-I52</f>
        <v>311.29999999999995</v>
      </c>
      <c r="K52" s="100"/>
      <c r="L52" s="99">
        <f t="shared" ref="L52:L57" si="57">+J52+K52</f>
        <v>311.29999999999995</v>
      </c>
      <c r="M52" s="99">
        <v>4.0999999999999996</v>
      </c>
      <c r="N52" s="101">
        <f t="shared" ref="N52:N57" si="58">+L52-M52</f>
        <v>307.19999999999993</v>
      </c>
      <c r="O52" s="99">
        <v>113.2</v>
      </c>
      <c r="P52" s="326">
        <f t="shared" ref="P52:P57" si="59">F52+O52</f>
        <v>572.4</v>
      </c>
      <c r="Q52" s="311">
        <f>(+J52-M52)/U52-0.005</f>
        <v>2.1447550734779561</v>
      </c>
      <c r="R52" s="103">
        <f>+'Cash Flow'!O58/'Income - Continuing Ops'!U52</f>
        <v>2.5129461161651503</v>
      </c>
      <c r="S52" s="311">
        <v>1.26</v>
      </c>
      <c r="T52" s="312">
        <v>42.02</v>
      </c>
      <c r="U52" s="100">
        <v>142.9</v>
      </c>
      <c r="V52" s="327"/>
      <c r="W52" s="107">
        <f t="shared" ref="W52:W57" si="60">Q52</f>
        <v>2.1447550734779561</v>
      </c>
      <c r="X52" s="107">
        <f t="shared" si="54"/>
        <v>2.5129461161651503</v>
      </c>
      <c r="Y52" s="315">
        <f>+S52</f>
        <v>1.26</v>
      </c>
      <c r="Z52" s="312">
        <f>T52</f>
        <v>42.02</v>
      </c>
      <c r="AA52" s="397"/>
    </row>
    <row r="53" spans="1:27" ht="14.5" x14ac:dyDescent="0.25">
      <c r="A53" s="400" t="s">
        <v>234</v>
      </c>
      <c r="B53" s="218">
        <v>3749.9</v>
      </c>
      <c r="C53" s="218">
        <v>913.4</v>
      </c>
      <c r="D53" s="218">
        <f>395.7+6.9</f>
        <v>402.59999999999997</v>
      </c>
      <c r="E53" s="218">
        <f>-18-3.7+12.2+15.9</f>
        <v>6.4</v>
      </c>
      <c r="F53" s="88">
        <f t="shared" si="55"/>
        <v>504.40000000000003</v>
      </c>
      <c r="G53" s="218">
        <v>38.799999999999997</v>
      </c>
      <c r="H53" s="90">
        <v>3.9</v>
      </c>
      <c r="I53" s="88">
        <f>125.2+0.5-4.2-2-6.6</f>
        <v>112.9</v>
      </c>
      <c r="J53" s="88">
        <f t="shared" si="56"/>
        <v>356.6</v>
      </c>
      <c r="K53" s="88"/>
      <c r="L53" s="88">
        <f t="shared" si="57"/>
        <v>356.6</v>
      </c>
      <c r="M53" s="88">
        <v>0.4</v>
      </c>
      <c r="N53" s="272">
        <f t="shared" si="58"/>
        <v>356.20000000000005</v>
      </c>
      <c r="O53" s="88">
        <v>115.4</v>
      </c>
      <c r="P53" s="328">
        <f t="shared" si="59"/>
        <v>619.80000000000007</v>
      </c>
      <c r="Q53" s="215">
        <f t="shared" si="53"/>
        <v>2.5442857142857145</v>
      </c>
      <c r="R53" s="74">
        <f>+'Cash Flow (2)'!O10/'Income - Continuing Ops'!U53</f>
        <v>3.9471428571428575</v>
      </c>
      <c r="S53" s="74">
        <v>1.34</v>
      </c>
      <c r="T53" s="275">
        <v>48.88</v>
      </c>
      <c r="U53" s="88">
        <v>140</v>
      </c>
      <c r="V53" s="331"/>
      <c r="W53" s="75">
        <f t="shared" si="60"/>
        <v>2.5442857142857145</v>
      </c>
      <c r="X53" s="75">
        <f t="shared" si="54"/>
        <v>3.9471428571428575</v>
      </c>
      <c r="Y53" s="75">
        <f>+S53</f>
        <v>1.34</v>
      </c>
      <c r="Z53" s="275">
        <f>T53</f>
        <v>48.88</v>
      </c>
      <c r="AA53" s="397"/>
    </row>
    <row r="54" spans="1:27" ht="14.5" x14ac:dyDescent="0.25">
      <c r="A54" s="373" t="s">
        <v>235</v>
      </c>
      <c r="B54" s="218">
        <v>3943.8</v>
      </c>
      <c r="C54" s="218">
        <f>896.6+13</f>
        <v>909.6</v>
      </c>
      <c r="D54" s="218">
        <f>400.5-2.3</f>
        <v>398.2</v>
      </c>
      <c r="E54" s="218">
        <f>13.8-4.6-3.1+23.4</f>
        <v>29.5</v>
      </c>
      <c r="F54" s="88">
        <f t="shared" si="55"/>
        <v>481.90000000000003</v>
      </c>
      <c r="G54" s="218">
        <v>43.5</v>
      </c>
      <c r="H54" s="90">
        <v>7.6</v>
      </c>
      <c r="I54" s="88">
        <f>138.4+1.9+8.4-8.3+5.8-50.4</f>
        <v>95.800000000000011</v>
      </c>
      <c r="J54" s="88">
        <f t="shared" si="56"/>
        <v>350.20000000000005</v>
      </c>
      <c r="K54" s="88"/>
      <c r="L54" s="88">
        <f t="shared" si="57"/>
        <v>350.20000000000005</v>
      </c>
      <c r="M54" s="88">
        <v>0.1</v>
      </c>
      <c r="N54" s="91">
        <f t="shared" si="58"/>
        <v>350.1</v>
      </c>
      <c r="O54" s="88">
        <v>125.9</v>
      </c>
      <c r="P54" s="319">
        <f t="shared" si="59"/>
        <v>607.80000000000007</v>
      </c>
      <c r="Q54" s="215">
        <f>(+J54-M54)/U54+0.02</f>
        <v>2.5698907501820831</v>
      </c>
      <c r="R54" s="74">
        <f>+'Cash Flow (2)'!O11/'Income - Continuing Ops'!U54</f>
        <v>3.2316096139839767</v>
      </c>
      <c r="S54" s="74">
        <v>1.42</v>
      </c>
      <c r="T54" s="93">
        <v>47.73</v>
      </c>
      <c r="U54" s="88">
        <v>137.30000000000001</v>
      </c>
      <c r="V54" s="332"/>
      <c r="W54" s="75">
        <f t="shared" si="60"/>
        <v>2.5698907501820831</v>
      </c>
      <c r="X54" s="75">
        <f t="shared" si="54"/>
        <v>3.2316096139839767</v>
      </c>
      <c r="Y54" s="75">
        <f>+S54</f>
        <v>1.42</v>
      </c>
      <c r="Z54" s="93">
        <f>T54</f>
        <v>47.73</v>
      </c>
      <c r="AA54" s="397"/>
    </row>
    <row r="55" spans="1:27" ht="14.5" x14ac:dyDescent="0.25">
      <c r="A55" s="398" t="s">
        <v>236</v>
      </c>
      <c r="B55" s="218">
        <v>4269.5</v>
      </c>
      <c r="C55" s="218">
        <f>912.1+10.7</f>
        <v>922.80000000000007</v>
      </c>
      <c r="D55" s="218">
        <v>405.4</v>
      </c>
      <c r="E55" s="218">
        <f>26.7-12</f>
        <v>14.7</v>
      </c>
      <c r="F55" s="88">
        <f t="shared" si="55"/>
        <v>502.7000000000001</v>
      </c>
      <c r="G55" s="218">
        <f>60.9-3.1</f>
        <v>57.8</v>
      </c>
      <c r="H55" s="90">
        <v>8.4</v>
      </c>
      <c r="I55" s="88">
        <f>84.1+4+3.8+1.3+1.8</f>
        <v>94.999999999999986</v>
      </c>
      <c r="J55" s="88">
        <f t="shared" si="56"/>
        <v>358.30000000000007</v>
      </c>
      <c r="K55" s="88"/>
      <c r="L55" s="88">
        <f t="shared" si="57"/>
        <v>358.30000000000007</v>
      </c>
      <c r="M55" s="88">
        <v>0.2</v>
      </c>
      <c r="N55" s="91">
        <f t="shared" si="58"/>
        <v>358.10000000000008</v>
      </c>
      <c r="O55" s="88">
        <v>136.1</v>
      </c>
      <c r="P55" s="319">
        <f t="shared" si="59"/>
        <v>638.80000000000007</v>
      </c>
      <c r="Q55" s="215">
        <f t="shared" si="53"/>
        <v>2.6486686390532554</v>
      </c>
      <c r="R55" s="74">
        <f>+'Cash Flow (2)'!O12/'Income - Continuing Ops'!U55</f>
        <v>3.2566568047337281</v>
      </c>
      <c r="S55" s="74">
        <v>1.5</v>
      </c>
      <c r="T55" s="93">
        <v>35.840000000000003</v>
      </c>
      <c r="U55" s="88">
        <v>135.19999999999999</v>
      </c>
      <c r="V55" s="332"/>
      <c r="W55" s="75">
        <f t="shared" si="60"/>
        <v>2.6486686390532554</v>
      </c>
      <c r="X55" s="75">
        <f t="shared" si="54"/>
        <v>3.2566568047337281</v>
      </c>
      <c r="Y55" s="75">
        <f>+S55</f>
        <v>1.5</v>
      </c>
      <c r="Z55" s="93">
        <f>T55</f>
        <v>35.840000000000003</v>
      </c>
      <c r="AA55" s="397"/>
    </row>
    <row r="56" spans="1:27" ht="14.5" x14ac:dyDescent="0.25">
      <c r="A56" s="398" t="s">
        <v>237</v>
      </c>
      <c r="B56" s="218">
        <v>4752.5</v>
      </c>
      <c r="C56" s="218">
        <f>1024-5.3</f>
        <v>1018.7</v>
      </c>
      <c r="D56" s="218">
        <f>469.7-0.9</f>
        <v>468.8</v>
      </c>
      <c r="E56" s="218">
        <f>67.5-15.6</f>
        <v>51.9</v>
      </c>
      <c r="F56" s="88">
        <f t="shared" si="55"/>
        <v>498.00000000000011</v>
      </c>
      <c r="G56" s="218">
        <v>90.7</v>
      </c>
      <c r="H56" s="90">
        <v>7.4</v>
      </c>
      <c r="I56" s="88">
        <f>89.4+0.9+0.2</f>
        <v>90.500000000000014</v>
      </c>
      <c r="J56" s="88">
        <f t="shared" si="56"/>
        <v>324.2000000000001</v>
      </c>
      <c r="K56" s="90"/>
      <c r="L56" s="88">
        <f t="shared" si="57"/>
        <v>324.2000000000001</v>
      </c>
      <c r="M56" s="88">
        <v>0.1</v>
      </c>
      <c r="N56" s="91">
        <f t="shared" si="58"/>
        <v>324.10000000000008</v>
      </c>
      <c r="O56" s="88">
        <v>191.9</v>
      </c>
      <c r="P56" s="319">
        <f t="shared" si="59"/>
        <v>689.90000000000009</v>
      </c>
      <c r="Q56" s="215">
        <f>(+J56-M56)/U56</f>
        <v>2.3936484490398824</v>
      </c>
      <c r="R56" s="74">
        <f>+'Cash Flow (2)'!O13/'Income - Continuing Ops'!U56</f>
        <v>4.9335302806499257</v>
      </c>
      <c r="S56" s="215">
        <v>1.58</v>
      </c>
      <c r="T56" s="306">
        <v>50.83</v>
      </c>
      <c r="U56" s="90">
        <v>135.4</v>
      </c>
      <c r="V56" s="329"/>
      <c r="W56" s="75">
        <f t="shared" si="60"/>
        <v>2.3936484490398824</v>
      </c>
      <c r="X56" s="75">
        <f t="shared" si="54"/>
        <v>4.9335302806499257</v>
      </c>
      <c r="Y56" s="217">
        <v>1.58</v>
      </c>
      <c r="Z56" s="306">
        <v>50.83</v>
      </c>
      <c r="AA56" s="397"/>
    </row>
    <row r="57" spans="1:27" ht="14.5" x14ac:dyDescent="0.25">
      <c r="A57" s="253" t="s">
        <v>238</v>
      </c>
      <c r="B57" s="309">
        <v>4280.2</v>
      </c>
      <c r="C57" s="309">
        <f>904.1+0.5</f>
        <v>904.6</v>
      </c>
      <c r="D57" s="309">
        <f>424.4-8.4</f>
        <v>416</v>
      </c>
      <c r="E57" s="309">
        <f>72.2-3.5-25.4-7.4</f>
        <v>35.900000000000006</v>
      </c>
      <c r="F57" s="99">
        <f t="shared" si="55"/>
        <v>452.70000000000005</v>
      </c>
      <c r="G57" s="309">
        <v>82.7</v>
      </c>
      <c r="H57" s="100">
        <v>3.1</v>
      </c>
      <c r="I57" s="99">
        <f>74.8+2.1+0.9+1.5-0.1</f>
        <v>79.2</v>
      </c>
      <c r="J57" s="99">
        <f t="shared" si="56"/>
        <v>293.90000000000009</v>
      </c>
      <c r="K57" s="100"/>
      <c r="L57" s="99">
        <f t="shared" si="57"/>
        <v>293.90000000000009</v>
      </c>
      <c r="M57" s="99">
        <v>0.1</v>
      </c>
      <c r="N57" s="101">
        <f t="shared" si="58"/>
        <v>293.80000000000007</v>
      </c>
      <c r="O57" s="99">
        <v>189.4</v>
      </c>
      <c r="P57" s="326">
        <f t="shared" si="59"/>
        <v>642.1</v>
      </c>
      <c r="Q57" s="311">
        <f>(+J57-M57)/U57</f>
        <v>2.161883738042679</v>
      </c>
      <c r="R57" s="103">
        <f>+'Cash Flow (2)'!O14/'Income - Continuing Ops'!U57</f>
        <v>4.434142752023547</v>
      </c>
      <c r="S57" s="311">
        <v>1.6</v>
      </c>
      <c r="T57" s="312">
        <v>44.3</v>
      </c>
      <c r="U57" s="100">
        <v>135.9</v>
      </c>
      <c r="V57" s="327"/>
      <c r="W57" s="107">
        <f t="shared" si="60"/>
        <v>2.161883738042679</v>
      </c>
      <c r="X57" s="107">
        <f t="shared" si="54"/>
        <v>4.434142752023547</v>
      </c>
      <c r="Y57" s="315">
        <v>1.6</v>
      </c>
      <c r="Z57" s="312">
        <v>44.3</v>
      </c>
      <c r="AA57" s="397"/>
    </row>
    <row r="58" spans="1:27" x14ac:dyDescent="0.25">
      <c r="A58" s="344">
        <v>2021</v>
      </c>
      <c r="B58" s="218">
        <v>5072.6000000000004</v>
      </c>
      <c r="C58" s="218">
        <v>1038.3</v>
      </c>
      <c r="D58" s="218">
        <v>422.1</v>
      </c>
      <c r="E58" s="218">
        <f>20.2+28.2</f>
        <v>48.4</v>
      </c>
      <c r="F58" s="88">
        <f t="shared" ref="F58" si="61">C58-D58-E58</f>
        <v>567.79999999999995</v>
      </c>
      <c r="G58" s="218">
        <v>76.5</v>
      </c>
      <c r="H58" s="90">
        <v>2.6</v>
      </c>
      <c r="I58" s="88">
        <f>119.5-7</f>
        <v>112.5</v>
      </c>
      <c r="J58" s="88">
        <f t="shared" ref="J58" si="62">F58-G58+H58-I58</f>
        <v>381.4</v>
      </c>
      <c r="K58" s="88"/>
      <c r="L58" s="88">
        <f t="shared" ref="L58" si="63">+J58+K58</f>
        <v>381.4</v>
      </c>
      <c r="M58" s="88">
        <v>0.2</v>
      </c>
      <c r="N58" s="272">
        <f t="shared" ref="N58" si="64">+L58-M58</f>
        <v>381.2</v>
      </c>
      <c r="O58" s="88">
        <v>187.3</v>
      </c>
      <c r="P58" s="328">
        <f>F58+O58</f>
        <v>755.09999999999991</v>
      </c>
      <c r="Q58" s="215">
        <f>(+J58-M58)/U58-0.01</f>
        <v>2.7785881492318949</v>
      </c>
      <c r="R58" s="74">
        <f>+'Cash Flow (2)'!O15/'Income - Continuing Ops'!U58</f>
        <v>1.9846378931967812</v>
      </c>
      <c r="S58" s="74">
        <v>1.66</v>
      </c>
      <c r="T58" s="275">
        <v>41.16</v>
      </c>
      <c r="U58" s="88">
        <v>136.69999999999999</v>
      </c>
      <c r="V58" s="331"/>
      <c r="W58" s="75">
        <f>Q58</f>
        <v>2.7785881492318949</v>
      </c>
      <c r="X58" s="75">
        <f t="shared" ref="X58" si="65">+R58</f>
        <v>1.9846378931967812</v>
      </c>
      <c r="Y58" s="75">
        <v>1.66</v>
      </c>
      <c r="Z58" s="275">
        <v>41.16</v>
      </c>
    </row>
    <row r="59" spans="1:27" x14ac:dyDescent="0.25">
      <c r="A59" s="398">
        <v>2022</v>
      </c>
      <c r="B59" s="218">
        <v>5146.7</v>
      </c>
      <c r="C59" s="218">
        <v>976.8</v>
      </c>
      <c r="D59" s="218">
        <v>427.3</v>
      </c>
      <c r="E59" s="218">
        <v>64.5</v>
      </c>
      <c r="F59" s="88">
        <f t="shared" ref="F59:F60" si="66">C59-D59-E59</f>
        <v>485</v>
      </c>
      <c r="G59" s="218">
        <v>85.5</v>
      </c>
      <c r="H59" s="90">
        <v>4.0999999999999996</v>
      </c>
      <c r="I59" s="88">
        <v>93.7</v>
      </c>
      <c r="J59" s="88">
        <f t="shared" ref="J59:J60" si="67">F59-G59+H59-I59</f>
        <v>309.90000000000003</v>
      </c>
      <c r="K59" s="90"/>
      <c r="L59" s="88">
        <f t="shared" ref="L59:L60" si="68">+J59+K59</f>
        <v>309.90000000000003</v>
      </c>
      <c r="M59" s="88">
        <v>0.1</v>
      </c>
      <c r="N59" s="91">
        <f t="shared" ref="N59:N60" si="69">+L59-M59</f>
        <v>309.8</v>
      </c>
      <c r="O59" s="88">
        <v>179.8</v>
      </c>
      <c r="P59" s="319">
        <f>F59+O59</f>
        <v>664.8</v>
      </c>
      <c r="Q59" s="215">
        <f>(+J59-M59)/U59</f>
        <v>2.2695970695970695</v>
      </c>
      <c r="R59" s="74">
        <f>+'Cash Flow (2)'!O16/'Income - Continuing Ops'!U59</f>
        <v>3.2336996336996333</v>
      </c>
      <c r="S59" s="215">
        <v>1.74</v>
      </c>
      <c r="T59" s="306">
        <v>32.229999999999997</v>
      </c>
      <c r="U59" s="90">
        <v>136.5</v>
      </c>
      <c r="V59" s="329"/>
      <c r="W59" s="75">
        <f>Q59</f>
        <v>2.2695970695970695</v>
      </c>
      <c r="X59" s="75">
        <f t="shared" ref="X59" si="70">+R59</f>
        <v>3.2336996336996333</v>
      </c>
      <c r="Y59" s="217">
        <v>1.74</v>
      </c>
      <c r="Z59" s="306">
        <v>32.229999999999997</v>
      </c>
      <c r="AA59" s="397"/>
    </row>
    <row r="60" spans="1:27" x14ac:dyDescent="0.25">
      <c r="A60" s="140">
        <v>2023</v>
      </c>
      <c r="B60" s="218">
        <v>4725.3</v>
      </c>
      <c r="C60" s="218">
        <v>853.8</v>
      </c>
      <c r="D60" s="218">
        <v>465.4</v>
      </c>
      <c r="E60" s="218">
        <v>54.9</v>
      </c>
      <c r="F60" s="88">
        <f t="shared" si="66"/>
        <v>333.5</v>
      </c>
      <c r="G60" s="218">
        <v>88.4</v>
      </c>
      <c r="H60" s="90">
        <v>5.4</v>
      </c>
      <c r="I60" s="88">
        <v>61.4</v>
      </c>
      <c r="J60" s="88">
        <f t="shared" si="67"/>
        <v>189.1</v>
      </c>
      <c r="K60" s="90"/>
      <c r="L60" s="88">
        <f t="shared" si="68"/>
        <v>189.1</v>
      </c>
      <c r="M60" s="88">
        <v>0</v>
      </c>
      <c r="N60" s="91">
        <f t="shared" si="69"/>
        <v>189.1</v>
      </c>
      <c r="O60" s="88">
        <v>179.9</v>
      </c>
      <c r="P60" s="319">
        <f>F60+O60</f>
        <v>513.4</v>
      </c>
      <c r="Q60" s="215">
        <v>1.39</v>
      </c>
      <c r="R60" s="74">
        <f>+'Cash Flow (2)'!O17/'Income - Continuing Ops'!U60</f>
        <v>3.6478356566397654</v>
      </c>
      <c r="S60" s="215">
        <v>1.82</v>
      </c>
      <c r="T60" s="306">
        <v>26.17</v>
      </c>
      <c r="U60" s="90">
        <v>136.30000000000001</v>
      </c>
      <c r="V60" s="329"/>
      <c r="W60" s="75">
        <f>Q60</f>
        <v>1.39</v>
      </c>
      <c r="X60" s="75">
        <f t="shared" ref="X60" si="71">+R60</f>
        <v>3.6478356566397654</v>
      </c>
      <c r="Y60" s="217">
        <v>1.82</v>
      </c>
      <c r="Z60" s="306">
        <v>26.17</v>
      </c>
      <c r="AA60" s="397"/>
    </row>
    <row r="61" spans="1:27" x14ac:dyDescent="0.25">
      <c r="A61" s="60">
        <v>2024</v>
      </c>
      <c r="B61" s="218">
        <v>4383.6000000000004</v>
      </c>
      <c r="C61" s="218">
        <v>762.3</v>
      </c>
      <c r="D61" s="218">
        <v>488.9</v>
      </c>
      <c r="E61" s="218">
        <v>6.9</v>
      </c>
      <c r="F61" s="88">
        <f>C61-D61-E61</f>
        <v>266.5</v>
      </c>
      <c r="G61" s="218">
        <v>85.9</v>
      </c>
      <c r="H61" s="90">
        <v>6.6</v>
      </c>
      <c r="I61" s="88">
        <v>42.9</v>
      </c>
      <c r="J61" s="88">
        <f>F61-G61+H61-I61</f>
        <v>144.29999999999998</v>
      </c>
      <c r="K61" s="90"/>
      <c r="L61" s="88">
        <f>+J61+K61</f>
        <v>144.29999999999998</v>
      </c>
      <c r="M61" s="88">
        <v>0.1</v>
      </c>
      <c r="N61" s="444">
        <f>+L61-M61</f>
        <v>144.19999999999999</v>
      </c>
      <c r="O61" s="88">
        <v>136</v>
      </c>
      <c r="P61" s="444">
        <f>F61+O61</f>
        <v>402.5</v>
      </c>
      <c r="Q61" s="215">
        <f>(+J61-M61)/U61</f>
        <v>1.050254916241806</v>
      </c>
      <c r="R61" s="74">
        <f>+'Cash Flow (2)'!O18/'Income - Continuing Ops'!U61</f>
        <v>2.2265112891478513</v>
      </c>
      <c r="S61" s="215">
        <v>0.61</v>
      </c>
      <c r="T61" s="443">
        <v>9.6</v>
      </c>
      <c r="U61" s="90">
        <v>137.30000000000001</v>
      </c>
      <c r="V61" s="445"/>
      <c r="W61" s="75">
        <f>Q61</f>
        <v>1.050254916241806</v>
      </c>
      <c r="X61" s="75">
        <f>+R61</f>
        <v>2.2265112891478513</v>
      </c>
      <c r="Y61" s="217">
        <v>0.61</v>
      </c>
      <c r="Z61" s="443">
        <v>9.6</v>
      </c>
      <c r="AA61" s="397"/>
    </row>
    <row r="62" spans="1:27" x14ac:dyDescent="0.25">
      <c r="A62" s="60">
        <v>2025</v>
      </c>
      <c r="B62" s="218">
        <v>4055.1</v>
      </c>
      <c r="C62" s="218">
        <v>747.7</v>
      </c>
      <c r="D62" s="218">
        <v>483</v>
      </c>
      <c r="E62" s="218">
        <v>1.8</v>
      </c>
      <c r="F62" s="475">
        <v>262.89999999999998</v>
      </c>
      <c r="G62" s="218">
        <v>72.900000000000006</v>
      </c>
      <c r="H62" s="476">
        <v>6.6</v>
      </c>
      <c r="I62" s="475">
        <v>50.7</v>
      </c>
      <c r="J62" s="475">
        <f>F62-G62+H62-I62</f>
        <v>145.89999999999998</v>
      </c>
      <c r="K62" s="476"/>
      <c r="L62" s="475">
        <f>+J62+K62</f>
        <v>145.89999999999998</v>
      </c>
      <c r="M62" s="475">
        <v>0</v>
      </c>
      <c r="N62" s="444">
        <f>+L62-M62</f>
        <v>145.89999999999998</v>
      </c>
      <c r="O62" s="475">
        <v>122.4</v>
      </c>
      <c r="P62" s="444">
        <f>F62+O62</f>
        <v>385.29999999999995</v>
      </c>
      <c r="Q62" s="477">
        <f>(+J62-M62)/U62+0.01</f>
        <v>1.0543808160343593</v>
      </c>
      <c r="R62" s="477">
        <f>+'Cash Flow (2)'!O19/'Income - Continuing Ops'!U62</f>
        <v>2.4209019327129568</v>
      </c>
      <c r="S62" s="477">
        <v>0.2</v>
      </c>
      <c r="T62" s="443">
        <v>11</v>
      </c>
      <c r="U62" s="476">
        <v>139.69999999999999</v>
      </c>
      <c r="V62" s="445"/>
      <c r="W62" s="478">
        <f>Q62</f>
        <v>1.0543808160343593</v>
      </c>
      <c r="X62" s="479">
        <f>+R62</f>
        <v>2.4209019327129568</v>
      </c>
      <c r="Y62" s="479">
        <v>0.2</v>
      </c>
      <c r="Z62" s="443">
        <v>11</v>
      </c>
      <c r="AA62" s="397"/>
    </row>
    <row r="64" spans="1:27" s="355" customFormat="1" ht="17.5" x14ac:dyDescent="0.4">
      <c r="A64" s="358" t="s">
        <v>199</v>
      </c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7"/>
      <c r="N64" s="357"/>
      <c r="O64" s="357"/>
      <c r="P64" s="357"/>
      <c r="Q64" s="357"/>
      <c r="R64" s="357"/>
      <c r="S64" s="357"/>
      <c r="T64" s="357"/>
      <c r="U64" s="357"/>
      <c r="V64" s="357"/>
      <c r="W64" s="357"/>
      <c r="X64" s="357"/>
      <c r="Y64" s="357"/>
      <c r="Z64" s="357"/>
    </row>
    <row r="65" spans="1:36" s="355" customFormat="1" ht="17.5" x14ac:dyDescent="0.4">
      <c r="A65" s="358" t="s">
        <v>207</v>
      </c>
      <c r="B65" s="357"/>
      <c r="C65" s="357"/>
      <c r="D65" s="357"/>
      <c r="E65" s="357"/>
      <c r="F65" s="357"/>
      <c r="G65" s="357"/>
      <c r="H65" s="357"/>
      <c r="I65" s="357"/>
      <c r="J65" s="357"/>
      <c r="K65" s="357"/>
      <c r="L65" s="357"/>
      <c r="M65" s="357"/>
      <c r="N65" s="357"/>
      <c r="O65" s="357"/>
      <c r="P65" s="357"/>
      <c r="Q65" s="357"/>
      <c r="R65" s="357"/>
      <c r="S65" s="357"/>
      <c r="T65" s="357"/>
      <c r="U65" s="357"/>
      <c r="V65" s="357"/>
      <c r="W65" s="357"/>
      <c r="X65" s="357"/>
      <c r="Y65" s="357"/>
      <c r="Z65" s="357"/>
    </row>
    <row r="66" spans="1:36" s="355" customFormat="1" ht="17.5" x14ac:dyDescent="0.4">
      <c r="A66" s="358" t="s">
        <v>211</v>
      </c>
      <c r="B66" s="357"/>
      <c r="C66" s="357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  <c r="O66" s="357"/>
      <c r="P66" s="357"/>
      <c r="Q66" s="357"/>
      <c r="R66" s="357"/>
      <c r="S66" s="357"/>
      <c r="T66" s="357"/>
      <c r="U66" s="357"/>
      <c r="V66" s="357"/>
      <c r="W66" s="357"/>
      <c r="X66" s="357"/>
      <c r="Y66" s="357"/>
      <c r="Z66" s="357"/>
    </row>
    <row r="68" spans="1:36" ht="16" x14ac:dyDescent="0.25">
      <c r="A68" s="402" t="s">
        <v>246</v>
      </c>
    </row>
    <row r="69" spans="1:36" s="321" customFormat="1" ht="16.5" customHeight="1" x14ac:dyDescent="0.25">
      <c r="A69" s="376"/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</row>
    <row r="73" spans="1:36" ht="13.5" customHeight="1" x14ac:dyDescent="0.25"/>
    <row r="74" spans="1:36" s="70" customFormat="1" ht="13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</sheetData>
  <mergeCells count="33">
    <mergeCell ref="Q6:T6"/>
    <mergeCell ref="O6:P6"/>
    <mergeCell ref="O7:O10"/>
    <mergeCell ref="S8:S10"/>
    <mergeCell ref="T8:T10"/>
    <mergeCell ref="L7:L10"/>
    <mergeCell ref="A7:A10"/>
    <mergeCell ref="A37:Z38"/>
    <mergeCell ref="E7:E10"/>
    <mergeCell ref="F7:F10"/>
    <mergeCell ref="P7:P10"/>
    <mergeCell ref="U7:U10"/>
    <mergeCell ref="W7:Z7"/>
    <mergeCell ref="W8:W10"/>
    <mergeCell ref="Q7:T7"/>
    <mergeCell ref="M7:M10"/>
    <mergeCell ref="X8:X10"/>
    <mergeCell ref="A4:Z5"/>
    <mergeCell ref="Z8:Z10"/>
    <mergeCell ref="C7:C10"/>
    <mergeCell ref="B7:B10"/>
    <mergeCell ref="W6:Z6"/>
    <mergeCell ref="K7:K10"/>
    <mergeCell ref="N7:N10"/>
    <mergeCell ref="Y8:Y10"/>
    <mergeCell ref="D7:D10"/>
    <mergeCell ref="U6:V6"/>
    <mergeCell ref="G7:G10"/>
    <mergeCell ref="I7:I10"/>
    <mergeCell ref="Q8:Q10"/>
    <mergeCell ref="R8:R10"/>
    <mergeCell ref="B6:J6"/>
    <mergeCell ref="J7:J10"/>
  </mergeCells>
  <phoneticPr fontId="0" type="noConversion"/>
  <printOptions horizontalCentered="1"/>
  <pageMargins left="0.55000000000000004" right="0.3" top="0.5" bottom="0.25" header="0.4" footer="0.4"/>
  <pageSetup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X78"/>
  <sheetViews>
    <sheetView topLeftCell="A2" zoomScaleNormal="100" zoomScaleSheetLayoutView="110" workbookViewId="0">
      <pane xSplit="1" ySplit="7" topLeftCell="B40" activePane="bottomRight" state="frozen"/>
      <selection activeCell="D44" sqref="D44"/>
      <selection pane="topRight" activeCell="D44" sqref="D44"/>
      <selection pane="bottomLeft" activeCell="D44" sqref="D44"/>
      <selection pane="bottomRight" activeCell="A3" sqref="A3"/>
    </sheetView>
  </sheetViews>
  <sheetFormatPr defaultRowHeight="12.5" x14ac:dyDescent="0.25"/>
  <cols>
    <col min="1" max="17" width="10" customWidth="1"/>
    <col min="18" max="18" width="9.26953125" bestFit="1" customWidth="1"/>
    <col min="19" max="19" width="9.453125" bestFit="1" customWidth="1"/>
    <col min="20" max="20" width="9.26953125" bestFit="1" customWidth="1"/>
    <col min="21" max="22" width="11.26953125" bestFit="1" customWidth="1"/>
  </cols>
  <sheetData>
    <row r="1" spans="1:17" hidden="1" x14ac:dyDescent="0.25">
      <c r="P1" s="50"/>
    </row>
    <row r="2" spans="1:17" s="220" customFormat="1" ht="30" x14ac:dyDescent="0.6">
      <c r="A2" s="420" t="s">
        <v>366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219"/>
    </row>
    <row r="3" spans="1:17" s="220" customFormat="1" ht="30" x14ac:dyDescent="0.6">
      <c r="A3" s="422" t="s">
        <v>356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219"/>
    </row>
    <row r="4" spans="1:17" ht="6" customHeight="1" x14ac:dyDescent="0.25">
      <c r="P4" s="59"/>
    </row>
    <row r="5" spans="1:17" ht="14.25" customHeight="1" x14ac:dyDescent="0.3">
      <c r="A5" s="518" t="s">
        <v>9</v>
      </c>
      <c r="B5" s="527" t="s">
        <v>59</v>
      </c>
      <c r="C5" s="528"/>
      <c r="D5" s="528"/>
      <c r="E5" s="528"/>
      <c r="F5" s="528"/>
      <c r="G5" s="527" t="s">
        <v>60</v>
      </c>
      <c r="H5" s="528"/>
      <c r="I5" s="530"/>
      <c r="J5" s="527" t="s">
        <v>61</v>
      </c>
      <c r="K5" s="528"/>
      <c r="L5" s="528"/>
      <c r="M5" s="530"/>
      <c r="N5" s="527" t="s">
        <v>62</v>
      </c>
      <c r="O5" s="528"/>
      <c r="P5" s="528" t="s">
        <v>63</v>
      </c>
      <c r="Q5" s="530" t="s">
        <v>64</v>
      </c>
    </row>
    <row r="6" spans="1:17" ht="12.75" customHeight="1" x14ac:dyDescent="0.25">
      <c r="A6" s="518"/>
      <c r="B6" s="523" t="s">
        <v>65</v>
      </c>
      <c r="C6" s="518" t="s">
        <v>66</v>
      </c>
      <c r="D6" s="518" t="s">
        <v>67</v>
      </c>
      <c r="E6" s="518" t="s">
        <v>68</v>
      </c>
      <c r="F6" s="518" t="s">
        <v>0</v>
      </c>
      <c r="G6" s="523" t="s">
        <v>69</v>
      </c>
      <c r="H6" s="518" t="s">
        <v>70</v>
      </c>
      <c r="I6" s="515" t="s">
        <v>0</v>
      </c>
      <c r="J6" s="523" t="s">
        <v>71</v>
      </c>
      <c r="K6" s="518" t="s">
        <v>72</v>
      </c>
      <c r="L6" s="518" t="s">
        <v>73</v>
      </c>
      <c r="M6" s="515" t="s">
        <v>0</v>
      </c>
      <c r="N6" s="522" t="s">
        <v>74</v>
      </c>
      <c r="O6" s="518" t="s">
        <v>75</v>
      </c>
      <c r="P6" s="518" t="s">
        <v>63</v>
      </c>
      <c r="Q6" s="514" t="s">
        <v>64</v>
      </c>
    </row>
    <row r="7" spans="1:17" ht="12.75" customHeight="1" x14ac:dyDescent="0.25">
      <c r="A7" s="518"/>
      <c r="B7" s="523"/>
      <c r="C7" s="551"/>
      <c r="D7" s="551"/>
      <c r="E7" s="551"/>
      <c r="F7" s="551"/>
      <c r="G7" s="555"/>
      <c r="H7" s="551"/>
      <c r="I7" s="553"/>
      <c r="J7" s="555"/>
      <c r="K7" s="551"/>
      <c r="L7" s="551"/>
      <c r="M7" s="553"/>
      <c r="N7" s="555"/>
      <c r="O7" s="551"/>
      <c r="P7" s="551"/>
      <c r="Q7" s="553"/>
    </row>
    <row r="8" spans="1:17" ht="13" thickBot="1" x14ac:dyDescent="0.3">
      <c r="A8" s="519"/>
      <c r="B8" s="524"/>
      <c r="C8" s="552"/>
      <c r="D8" s="552"/>
      <c r="E8" s="552"/>
      <c r="F8" s="552"/>
      <c r="G8" s="556"/>
      <c r="H8" s="552"/>
      <c r="I8" s="554"/>
      <c r="J8" s="556"/>
      <c r="K8" s="552"/>
      <c r="L8" s="552"/>
      <c r="M8" s="554"/>
      <c r="N8" s="556"/>
      <c r="O8" s="552"/>
      <c r="P8" s="552"/>
      <c r="Q8" s="554"/>
    </row>
    <row r="9" spans="1:17" ht="13.5" customHeight="1" thickBot="1" x14ac:dyDescent="0.35">
      <c r="A9" s="8"/>
      <c r="B9" s="557" t="s">
        <v>14</v>
      </c>
      <c r="C9" s="558"/>
      <c r="D9" s="110"/>
      <c r="E9" s="110"/>
      <c r="F9" s="110"/>
      <c r="G9" s="111"/>
      <c r="H9" s="112"/>
      <c r="I9" s="113"/>
      <c r="J9" s="111"/>
      <c r="K9" s="112"/>
      <c r="L9" s="112"/>
      <c r="M9" s="113"/>
      <c r="N9" s="111"/>
      <c r="O9" s="110"/>
      <c r="P9" s="112"/>
      <c r="Q9" s="114"/>
    </row>
    <row r="10" spans="1:17" ht="13.5" customHeight="1" x14ac:dyDescent="0.25">
      <c r="A10" s="9">
        <v>1967</v>
      </c>
      <c r="B10" s="115"/>
      <c r="C10" s="116"/>
      <c r="D10" s="116"/>
      <c r="E10" s="116"/>
      <c r="F10" s="116"/>
      <c r="G10" s="115"/>
      <c r="H10" s="116"/>
      <c r="I10" s="117"/>
      <c r="J10" s="115"/>
      <c r="K10" s="116"/>
      <c r="L10" s="116"/>
      <c r="M10" s="117"/>
      <c r="N10" s="115">
        <f t="shared" ref="N10:N42" si="0">SUM(B10:M10)</f>
        <v>0</v>
      </c>
      <c r="O10" s="118">
        <v>0.67900000000000005</v>
      </c>
      <c r="P10" s="116">
        <f t="shared" ref="P10:P42" si="1">+O10+G10</f>
        <v>0.67900000000000005</v>
      </c>
      <c r="Q10" s="117">
        <f t="shared" ref="Q10:Q42" si="2">+O10+G10+H10+L10</f>
        <v>0.67900000000000005</v>
      </c>
    </row>
    <row r="11" spans="1:17" ht="13.5" customHeight="1" x14ac:dyDescent="0.25">
      <c r="A11" s="9">
        <v>1968</v>
      </c>
      <c r="B11" s="115"/>
      <c r="C11" s="116"/>
      <c r="D11" s="116"/>
      <c r="E11" s="116"/>
      <c r="F11" s="116"/>
      <c r="G11" s="115"/>
      <c r="H11" s="116"/>
      <c r="I11" s="117"/>
      <c r="J11" s="115"/>
      <c r="K11" s="116"/>
      <c r="L11" s="116"/>
      <c r="M11" s="117"/>
      <c r="N11" s="115">
        <f t="shared" si="0"/>
        <v>0</v>
      </c>
      <c r="O11" s="118">
        <f>0.583+0.335+0.024</f>
        <v>0.94199999999999995</v>
      </c>
      <c r="P11" s="116">
        <f t="shared" si="1"/>
        <v>0.94199999999999995</v>
      </c>
      <c r="Q11" s="117">
        <f t="shared" si="2"/>
        <v>0.94199999999999995</v>
      </c>
    </row>
    <row r="12" spans="1:17" ht="13.5" customHeight="1" x14ac:dyDescent="0.25">
      <c r="A12" s="9">
        <v>1969</v>
      </c>
      <c r="B12" s="115"/>
      <c r="C12" s="116"/>
      <c r="D12" s="116"/>
      <c r="E12" s="116"/>
      <c r="F12" s="116"/>
      <c r="G12" s="115"/>
      <c r="H12" s="116"/>
      <c r="I12" s="117"/>
      <c r="J12" s="115"/>
      <c r="K12" s="116"/>
      <c r="L12" s="116"/>
      <c r="M12" s="117"/>
      <c r="N12" s="115">
        <f t="shared" si="0"/>
        <v>0</v>
      </c>
      <c r="O12" s="118"/>
      <c r="P12" s="116">
        <f t="shared" si="1"/>
        <v>0</v>
      </c>
      <c r="Q12" s="117">
        <f t="shared" si="2"/>
        <v>0</v>
      </c>
    </row>
    <row r="13" spans="1:17" ht="13.5" customHeight="1" x14ac:dyDescent="0.25">
      <c r="A13" s="10">
        <v>1970</v>
      </c>
      <c r="B13" s="119"/>
      <c r="C13" s="120"/>
      <c r="D13" s="120"/>
      <c r="E13" s="120"/>
      <c r="F13" s="120"/>
      <c r="G13" s="119"/>
      <c r="H13" s="120"/>
      <c r="I13" s="121"/>
      <c r="J13" s="119"/>
      <c r="K13" s="120"/>
      <c r="L13" s="120"/>
      <c r="M13" s="121"/>
      <c r="N13" s="119">
        <f t="shared" si="0"/>
        <v>0</v>
      </c>
      <c r="O13" s="122"/>
      <c r="P13" s="120">
        <f t="shared" si="1"/>
        <v>0</v>
      </c>
      <c r="Q13" s="121">
        <f t="shared" si="2"/>
        <v>0</v>
      </c>
    </row>
    <row r="14" spans="1:17" ht="13.5" customHeight="1" x14ac:dyDescent="0.25">
      <c r="A14" s="9">
        <v>1971</v>
      </c>
      <c r="B14" s="115"/>
      <c r="C14" s="116"/>
      <c r="D14" s="116"/>
      <c r="E14" s="116"/>
      <c r="F14" s="116"/>
      <c r="G14" s="115"/>
      <c r="H14" s="116"/>
      <c r="I14" s="117"/>
      <c r="J14" s="115"/>
      <c r="K14" s="116"/>
      <c r="L14" s="116"/>
      <c r="M14" s="117"/>
      <c r="N14" s="115">
        <f t="shared" si="0"/>
        <v>0</v>
      </c>
      <c r="O14" s="118">
        <v>0.7</v>
      </c>
      <c r="P14" s="116">
        <f t="shared" si="1"/>
        <v>0.7</v>
      </c>
      <c r="Q14" s="117">
        <f t="shared" si="2"/>
        <v>0.7</v>
      </c>
    </row>
    <row r="15" spans="1:17" ht="13.5" customHeight="1" x14ac:dyDescent="0.25">
      <c r="A15" s="9">
        <v>1972</v>
      </c>
      <c r="B15" s="115"/>
      <c r="C15" s="116"/>
      <c r="D15" s="116"/>
      <c r="E15" s="116"/>
      <c r="F15" s="116"/>
      <c r="G15" s="115"/>
      <c r="H15" s="116"/>
      <c r="I15" s="117"/>
      <c r="J15" s="115"/>
      <c r="K15" s="116"/>
      <c r="L15" s="116"/>
      <c r="M15" s="117"/>
      <c r="N15" s="115">
        <f t="shared" si="0"/>
        <v>0</v>
      </c>
      <c r="O15" s="118">
        <v>0.4</v>
      </c>
      <c r="P15" s="116">
        <f t="shared" si="1"/>
        <v>0.4</v>
      </c>
      <c r="Q15" s="117">
        <f t="shared" si="2"/>
        <v>0.4</v>
      </c>
    </row>
    <row r="16" spans="1:17" ht="13.5" customHeight="1" x14ac:dyDescent="0.25">
      <c r="A16" s="9">
        <v>1973</v>
      </c>
      <c r="B16" s="115"/>
      <c r="C16" s="116"/>
      <c r="D16" s="116"/>
      <c r="E16" s="116"/>
      <c r="F16" s="116"/>
      <c r="G16" s="115"/>
      <c r="H16" s="116"/>
      <c r="I16" s="117"/>
      <c r="J16" s="115"/>
      <c r="K16" s="116"/>
      <c r="L16" s="116"/>
      <c r="M16" s="117"/>
      <c r="N16" s="115">
        <f t="shared" si="0"/>
        <v>0</v>
      </c>
      <c r="O16" s="118">
        <v>2.9</v>
      </c>
      <c r="P16" s="116">
        <f t="shared" si="1"/>
        <v>2.9</v>
      </c>
      <c r="Q16" s="117">
        <f t="shared" si="2"/>
        <v>2.9</v>
      </c>
    </row>
    <row r="17" spans="1:17" ht="13.5" customHeight="1" x14ac:dyDescent="0.25">
      <c r="A17" s="9">
        <v>1974</v>
      </c>
      <c r="B17" s="115"/>
      <c r="C17" s="116"/>
      <c r="D17" s="116"/>
      <c r="E17" s="116"/>
      <c r="F17" s="116"/>
      <c r="G17" s="115"/>
      <c r="H17" s="116"/>
      <c r="I17" s="117"/>
      <c r="J17" s="115"/>
      <c r="K17" s="116"/>
      <c r="L17" s="116"/>
      <c r="M17" s="117"/>
      <c r="N17" s="115">
        <f t="shared" si="0"/>
        <v>0</v>
      </c>
      <c r="O17" s="118">
        <v>2.5</v>
      </c>
      <c r="P17" s="116">
        <f t="shared" si="1"/>
        <v>2.5</v>
      </c>
      <c r="Q17" s="117">
        <f t="shared" si="2"/>
        <v>2.5</v>
      </c>
    </row>
    <row r="18" spans="1:17" ht="13.5" customHeight="1" x14ac:dyDescent="0.25">
      <c r="A18" s="10">
        <v>1975</v>
      </c>
      <c r="B18" s="119"/>
      <c r="C18" s="120"/>
      <c r="D18" s="120"/>
      <c r="E18" s="120"/>
      <c r="F18" s="120"/>
      <c r="G18" s="119"/>
      <c r="H18" s="120"/>
      <c r="I18" s="121"/>
      <c r="J18" s="119"/>
      <c r="K18" s="120"/>
      <c r="L18" s="120"/>
      <c r="M18" s="121"/>
      <c r="N18" s="119">
        <f t="shared" si="0"/>
        <v>0</v>
      </c>
      <c r="O18" s="120">
        <v>10.1</v>
      </c>
      <c r="P18" s="120">
        <f t="shared" si="1"/>
        <v>10.1</v>
      </c>
      <c r="Q18" s="121">
        <f t="shared" si="2"/>
        <v>10.1</v>
      </c>
    </row>
    <row r="19" spans="1:17" ht="13.5" customHeight="1" x14ac:dyDescent="0.25">
      <c r="A19" s="9">
        <v>1976</v>
      </c>
      <c r="B19" s="115"/>
      <c r="C19" s="116"/>
      <c r="D19" s="116"/>
      <c r="E19" s="116"/>
      <c r="F19" s="116"/>
      <c r="G19" s="115"/>
      <c r="H19" s="116"/>
      <c r="I19" s="117"/>
      <c r="J19" s="115"/>
      <c r="K19" s="116"/>
      <c r="L19" s="116"/>
      <c r="M19" s="117"/>
      <c r="N19" s="115">
        <f t="shared" si="0"/>
        <v>0</v>
      </c>
      <c r="O19" s="116">
        <v>5.3</v>
      </c>
      <c r="P19" s="116">
        <f t="shared" si="1"/>
        <v>5.3</v>
      </c>
      <c r="Q19" s="117">
        <f t="shared" si="2"/>
        <v>5.3</v>
      </c>
    </row>
    <row r="20" spans="1:17" ht="13.5" customHeight="1" x14ac:dyDescent="0.25">
      <c r="A20" s="9">
        <v>1977</v>
      </c>
      <c r="B20" s="115"/>
      <c r="C20" s="116"/>
      <c r="D20" s="116"/>
      <c r="E20" s="116"/>
      <c r="F20" s="116"/>
      <c r="G20" s="115"/>
      <c r="H20" s="116"/>
      <c r="I20" s="117"/>
      <c r="J20" s="115"/>
      <c r="K20" s="116"/>
      <c r="L20" s="116"/>
      <c r="M20" s="117"/>
      <c r="N20" s="115">
        <f t="shared" si="0"/>
        <v>0</v>
      </c>
      <c r="O20" s="116">
        <v>6.7</v>
      </c>
      <c r="P20" s="116">
        <f t="shared" si="1"/>
        <v>6.7</v>
      </c>
      <c r="Q20" s="117">
        <f t="shared" si="2"/>
        <v>6.7</v>
      </c>
    </row>
    <row r="21" spans="1:17" ht="13.5" customHeight="1" x14ac:dyDescent="0.25">
      <c r="A21" s="9">
        <v>1978</v>
      </c>
      <c r="B21" s="115"/>
      <c r="C21" s="116"/>
      <c r="D21" s="116"/>
      <c r="E21" s="116"/>
      <c r="F21" s="116"/>
      <c r="G21" s="115"/>
      <c r="H21" s="116"/>
      <c r="I21" s="117"/>
      <c r="J21" s="115"/>
      <c r="K21" s="116"/>
      <c r="L21" s="116"/>
      <c r="M21" s="117"/>
      <c r="N21" s="115">
        <f t="shared" si="0"/>
        <v>0</v>
      </c>
      <c r="O21" s="116">
        <v>12.5</v>
      </c>
      <c r="P21" s="116">
        <f t="shared" si="1"/>
        <v>12.5</v>
      </c>
      <c r="Q21" s="117">
        <f t="shared" si="2"/>
        <v>12.5</v>
      </c>
    </row>
    <row r="22" spans="1:17" ht="13.5" customHeight="1" x14ac:dyDescent="0.25">
      <c r="A22" s="9">
        <v>1979</v>
      </c>
      <c r="B22" s="115"/>
      <c r="C22" s="116"/>
      <c r="D22" s="116"/>
      <c r="E22" s="116"/>
      <c r="F22" s="116"/>
      <c r="G22" s="115"/>
      <c r="H22" s="116"/>
      <c r="I22" s="117"/>
      <c r="J22" s="115"/>
      <c r="K22" s="116"/>
      <c r="L22" s="116"/>
      <c r="M22" s="117"/>
      <c r="N22" s="115">
        <f t="shared" si="0"/>
        <v>0</v>
      </c>
      <c r="O22" s="116">
        <v>9.1999999999999993</v>
      </c>
      <c r="P22" s="116">
        <f t="shared" si="1"/>
        <v>9.1999999999999993</v>
      </c>
      <c r="Q22" s="117">
        <f t="shared" si="2"/>
        <v>9.1999999999999993</v>
      </c>
    </row>
    <row r="23" spans="1:17" ht="13.5" customHeight="1" x14ac:dyDescent="0.25">
      <c r="A23" s="10">
        <v>1980</v>
      </c>
      <c r="B23" s="119"/>
      <c r="C23" s="120"/>
      <c r="D23" s="120"/>
      <c r="E23" s="120"/>
      <c r="F23" s="120"/>
      <c r="G23" s="119"/>
      <c r="H23" s="120"/>
      <c r="I23" s="121"/>
      <c r="J23" s="119"/>
      <c r="K23" s="120"/>
      <c r="L23" s="120"/>
      <c r="M23" s="121"/>
      <c r="N23" s="119">
        <f t="shared" si="0"/>
        <v>0</v>
      </c>
      <c r="O23" s="120">
        <v>18.7</v>
      </c>
      <c r="P23" s="120">
        <f t="shared" si="1"/>
        <v>18.7</v>
      </c>
      <c r="Q23" s="121">
        <f t="shared" si="2"/>
        <v>18.7</v>
      </c>
    </row>
    <row r="24" spans="1:17" ht="13.5" customHeight="1" x14ac:dyDescent="0.25">
      <c r="A24" s="9">
        <v>1981</v>
      </c>
      <c r="B24" s="115"/>
      <c r="C24" s="116"/>
      <c r="D24" s="116"/>
      <c r="E24" s="116"/>
      <c r="F24" s="116"/>
      <c r="G24" s="115"/>
      <c r="H24" s="116"/>
      <c r="I24" s="117"/>
      <c r="J24" s="115"/>
      <c r="K24" s="116"/>
      <c r="L24" s="116"/>
      <c r="M24" s="117"/>
      <c r="N24" s="115">
        <f t="shared" si="0"/>
        <v>0</v>
      </c>
      <c r="O24" s="116">
        <v>15.7</v>
      </c>
      <c r="P24" s="116">
        <f t="shared" si="1"/>
        <v>15.7</v>
      </c>
      <c r="Q24" s="117">
        <f t="shared" si="2"/>
        <v>15.7</v>
      </c>
    </row>
    <row r="25" spans="1:17" ht="13.5" customHeight="1" x14ac:dyDescent="0.25">
      <c r="A25" s="9">
        <v>1982</v>
      </c>
      <c r="B25" s="115"/>
      <c r="C25" s="116"/>
      <c r="D25" s="116"/>
      <c r="E25" s="116"/>
      <c r="F25" s="116"/>
      <c r="G25" s="115"/>
      <c r="H25" s="116"/>
      <c r="I25" s="117"/>
      <c r="J25" s="115"/>
      <c r="K25" s="116"/>
      <c r="L25" s="116"/>
      <c r="M25" s="117"/>
      <c r="N25" s="115">
        <f t="shared" si="0"/>
        <v>0</v>
      </c>
      <c r="O25" s="116">
        <v>14.1</v>
      </c>
      <c r="P25" s="116">
        <f t="shared" si="1"/>
        <v>14.1</v>
      </c>
      <c r="Q25" s="117">
        <f t="shared" si="2"/>
        <v>14.1</v>
      </c>
    </row>
    <row r="26" spans="1:17" ht="13.5" customHeight="1" x14ac:dyDescent="0.3">
      <c r="A26" s="9">
        <v>1983</v>
      </c>
      <c r="B26" s="115"/>
      <c r="C26" s="123" t="s">
        <v>76</v>
      </c>
      <c r="D26" s="124"/>
      <c r="E26" s="125"/>
      <c r="F26" s="125"/>
      <c r="G26" s="126"/>
      <c r="H26" s="125"/>
      <c r="I26" s="127"/>
      <c r="J26" s="126"/>
      <c r="K26" s="125"/>
      <c r="L26" s="125"/>
      <c r="M26" s="127"/>
      <c r="N26" s="126">
        <f t="shared" si="0"/>
        <v>0</v>
      </c>
      <c r="O26" s="125">
        <v>10.1</v>
      </c>
      <c r="P26" s="125">
        <f t="shared" si="1"/>
        <v>10.1</v>
      </c>
      <c r="Q26" s="127">
        <f t="shared" si="2"/>
        <v>10.1</v>
      </c>
    </row>
    <row r="27" spans="1:17" ht="13.5" customHeight="1" x14ac:dyDescent="0.3">
      <c r="A27" s="9">
        <v>1984</v>
      </c>
      <c r="B27" s="126"/>
      <c r="C27" s="124"/>
      <c r="D27" s="123" t="s">
        <v>123</v>
      </c>
      <c r="E27" s="125"/>
      <c r="F27" s="125"/>
      <c r="G27" s="126"/>
      <c r="H27" s="125"/>
      <c r="I27" s="127"/>
      <c r="J27" s="126"/>
      <c r="K27" s="125"/>
      <c r="L27" s="125"/>
      <c r="M27" s="127"/>
      <c r="N27" s="126">
        <f t="shared" si="0"/>
        <v>0</v>
      </c>
      <c r="O27" s="125">
        <v>25.6</v>
      </c>
      <c r="P27" s="125">
        <f t="shared" si="1"/>
        <v>25.6</v>
      </c>
      <c r="Q27" s="127">
        <f t="shared" si="2"/>
        <v>25.6</v>
      </c>
    </row>
    <row r="28" spans="1:17" ht="13.5" customHeight="1" x14ac:dyDescent="0.3">
      <c r="A28" s="10">
        <v>1985</v>
      </c>
      <c r="B28" s="128"/>
      <c r="C28" s="129"/>
      <c r="D28" s="130" t="s">
        <v>124</v>
      </c>
      <c r="E28" s="129"/>
      <c r="F28" s="129"/>
      <c r="G28" s="128"/>
      <c r="H28" s="129"/>
      <c r="I28" s="131"/>
      <c r="J28" s="128"/>
      <c r="K28" s="129"/>
      <c r="L28" s="129"/>
      <c r="M28" s="131"/>
      <c r="N28" s="128">
        <f t="shared" si="0"/>
        <v>0</v>
      </c>
      <c r="O28" s="129">
        <v>26.2</v>
      </c>
      <c r="P28" s="129">
        <f t="shared" si="1"/>
        <v>26.2</v>
      </c>
      <c r="Q28" s="131">
        <f t="shared" si="2"/>
        <v>26.2</v>
      </c>
    </row>
    <row r="29" spans="1:17" ht="13.5" customHeight="1" x14ac:dyDescent="0.25">
      <c r="A29" s="9">
        <v>1986</v>
      </c>
      <c r="B29" s="126"/>
      <c r="C29" s="125"/>
      <c r="D29" s="125"/>
      <c r="E29" s="125"/>
      <c r="F29" s="125"/>
      <c r="G29" s="126"/>
      <c r="H29" s="125"/>
      <c r="I29" s="127"/>
      <c r="J29" s="126"/>
      <c r="K29" s="125"/>
      <c r="L29" s="125"/>
      <c r="M29" s="127"/>
      <c r="N29" s="126">
        <f t="shared" si="0"/>
        <v>0</v>
      </c>
      <c r="O29" s="125">
        <v>40.11</v>
      </c>
      <c r="P29" s="125">
        <f t="shared" si="1"/>
        <v>40.11</v>
      </c>
      <c r="Q29" s="127">
        <f t="shared" si="2"/>
        <v>40.11</v>
      </c>
    </row>
    <row r="30" spans="1:17" ht="13.5" customHeight="1" x14ac:dyDescent="0.25">
      <c r="A30" s="9">
        <v>1987</v>
      </c>
      <c r="B30" s="126"/>
      <c r="C30" s="125"/>
      <c r="D30" s="125"/>
      <c r="E30" s="125"/>
      <c r="F30" s="125"/>
      <c r="G30" s="126"/>
      <c r="H30" s="125"/>
      <c r="I30" s="127"/>
      <c r="J30" s="126"/>
      <c r="K30" s="125"/>
      <c r="L30" s="125"/>
      <c r="M30" s="127"/>
      <c r="N30" s="126">
        <f t="shared" si="0"/>
        <v>0</v>
      </c>
      <c r="O30" s="125">
        <v>37.835999999999999</v>
      </c>
      <c r="P30" s="125">
        <f t="shared" si="1"/>
        <v>37.835999999999999</v>
      </c>
      <c r="Q30" s="127">
        <f t="shared" si="2"/>
        <v>37.835999999999999</v>
      </c>
    </row>
    <row r="31" spans="1:17" ht="13.5" customHeight="1" x14ac:dyDescent="0.25">
      <c r="A31" s="11">
        <v>1988</v>
      </c>
      <c r="B31" s="126">
        <v>37.700000000000003</v>
      </c>
      <c r="C31" s="125">
        <v>21.65</v>
      </c>
      <c r="D31" s="125">
        <v>2.2469999999999999</v>
      </c>
      <c r="E31" s="125">
        <f>-12.51-17+1.27+7.9-3.61</f>
        <v>-23.949999999999996</v>
      </c>
      <c r="F31" s="125">
        <f>5.547+0.06+2.04-1.976-0.583+0.46</f>
        <v>5.5479999999999992</v>
      </c>
      <c r="G31" s="126">
        <v>-36.299999999999997</v>
      </c>
      <c r="H31" s="125">
        <v>-40.76</v>
      </c>
      <c r="I31" s="127">
        <f>-4.444+2.836+0.019</f>
        <v>-1.5890000000000002</v>
      </c>
      <c r="J31" s="126">
        <f>40.98-21.32</f>
        <v>19.659999999999997</v>
      </c>
      <c r="K31" s="125">
        <f>6.457-2.784</f>
        <v>3.673</v>
      </c>
      <c r="L31" s="125">
        <v>-11.35</v>
      </c>
      <c r="M31" s="127">
        <v>-1.56</v>
      </c>
      <c r="N31" s="126">
        <f t="shared" si="0"/>
        <v>-25.030999999999988</v>
      </c>
      <c r="O31" s="125">
        <f t="shared" ref="O31:O47" si="3">SUM(B31:F31)</f>
        <v>43.195000000000007</v>
      </c>
      <c r="P31" s="125">
        <f t="shared" si="1"/>
        <v>6.8950000000000102</v>
      </c>
      <c r="Q31" s="127">
        <f t="shared" si="2"/>
        <v>-45.214999999999989</v>
      </c>
    </row>
    <row r="32" spans="1:17" ht="13.5" customHeight="1" x14ac:dyDescent="0.25">
      <c r="A32" s="9">
        <v>1989</v>
      </c>
      <c r="B32" s="126">
        <v>45.9</v>
      </c>
      <c r="C32" s="125">
        <v>25.67</v>
      </c>
      <c r="D32" s="125">
        <v>2.7</v>
      </c>
      <c r="E32" s="125">
        <f>-10.33-9.13-1.6+0.41-1.55</f>
        <v>-22.200000000000003</v>
      </c>
      <c r="F32" s="125">
        <f>0.428+2.747-1.314-0.92+1.485-0.359+1.019</f>
        <v>3.0859999999999994</v>
      </c>
      <c r="G32" s="126">
        <v>-28.7</v>
      </c>
      <c r="H32" s="125">
        <v>-33.6</v>
      </c>
      <c r="I32" s="127">
        <f>-5.16+1.74+1.85</f>
        <v>-1.5699999999999998</v>
      </c>
      <c r="J32" s="126">
        <f>66.949-44.582</f>
        <v>22.366999999999997</v>
      </c>
      <c r="K32" s="125">
        <f>5.939-11.155</f>
        <v>-5.2159999999999993</v>
      </c>
      <c r="L32" s="125">
        <v>-12.17</v>
      </c>
      <c r="M32" s="127">
        <v>-0.4</v>
      </c>
      <c r="N32" s="126">
        <f t="shared" si="0"/>
        <v>-4.1330000000000116</v>
      </c>
      <c r="O32" s="125">
        <f t="shared" si="3"/>
        <v>55.155999999999992</v>
      </c>
      <c r="P32" s="125">
        <f t="shared" si="1"/>
        <v>26.455999999999992</v>
      </c>
      <c r="Q32" s="127">
        <f t="shared" si="2"/>
        <v>-19.314000000000007</v>
      </c>
    </row>
    <row r="33" spans="1:17" ht="13.5" customHeight="1" x14ac:dyDescent="0.25">
      <c r="A33" s="12">
        <v>1990</v>
      </c>
      <c r="B33" s="128">
        <v>29.4</v>
      </c>
      <c r="C33" s="129">
        <v>30.2</v>
      </c>
      <c r="D33" s="129">
        <v>4.2</v>
      </c>
      <c r="E33" s="129">
        <f>11.15+0.65-1.51-20.02+0.27</f>
        <v>-9.4599999999999991</v>
      </c>
      <c r="F33" s="129">
        <f>-2.38-5.5-1.57-2.17+2.42+0.26+20.27+0.2</f>
        <v>11.53</v>
      </c>
      <c r="G33" s="128">
        <v>-42.7</v>
      </c>
      <c r="H33" s="129">
        <v>-43.6</v>
      </c>
      <c r="I33" s="131">
        <f>1.27+2.99+0.35</f>
        <v>4.6099999999999994</v>
      </c>
      <c r="J33" s="128">
        <f>71.4-35</f>
        <v>36.400000000000006</v>
      </c>
      <c r="K33" s="129">
        <f>2.86-7.93</f>
        <v>-5.07</v>
      </c>
      <c r="L33" s="129">
        <v>-14.3</v>
      </c>
      <c r="M33" s="131">
        <v>-0.8</v>
      </c>
      <c r="N33" s="128">
        <f t="shared" si="0"/>
        <v>0.40999999999999015</v>
      </c>
      <c r="O33" s="129">
        <f t="shared" si="3"/>
        <v>65.86999999999999</v>
      </c>
      <c r="P33" s="129">
        <f t="shared" si="1"/>
        <v>23.169999999999987</v>
      </c>
      <c r="Q33" s="131">
        <f t="shared" si="2"/>
        <v>-34.730000000000018</v>
      </c>
    </row>
    <row r="34" spans="1:17" ht="13.5" customHeight="1" x14ac:dyDescent="0.25">
      <c r="A34" s="9">
        <v>1991</v>
      </c>
      <c r="B34" s="126">
        <v>39.4</v>
      </c>
      <c r="C34" s="549">
        <v>36.4</v>
      </c>
      <c r="D34" s="550"/>
      <c r="E34" s="125">
        <f>17.3+16.8+2.4-24.9</f>
        <v>11.600000000000001</v>
      </c>
      <c r="F34" s="125">
        <v>0.1</v>
      </c>
      <c r="G34" s="126">
        <v>-33.4</v>
      </c>
      <c r="H34" s="125">
        <v>-9.5</v>
      </c>
      <c r="I34" s="127">
        <f>9.2-0.2-0.4</f>
        <v>8.6</v>
      </c>
      <c r="J34" s="126">
        <f>-36.26+1.82</f>
        <v>-34.44</v>
      </c>
      <c r="K34" s="125">
        <v>0.375</v>
      </c>
      <c r="L34" s="125">
        <v>-14.91</v>
      </c>
      <c r="M34" s="127">
        <v>-2.25</v>
      </c>
      <c r="N34" s="126">
        <f t="shared" si="0"/>
        <v>1.975000000000005</v>
      </c>
      <c r="O34" s="125">
        <f t="shared" si="3"/>
        <v>87.5</v>
      </c>
      <c r="P34" s="125">
        <f t="shared" si="1"/>
        <v>54.1</v>
      </c>
      <c r="Q34" s="127">
        <f t="shared" si="2"/>
        <v>29.69</v>
      </c>
    </row>
    <row r="35" spans="1:17" ht="13.5" customHeight="1" x14ac:dyDescent="0.25">
      <c r="A35" s="11">
        <v>1992</v>
      </c>
      <c r="B35" s="126">
        <v>62.5</v>
      </c>
      <c r="C35" s="549">
        <v>38.200000000000003</v>
      </c>
      <c r="D35" s="550"/>
      <c r="E35" s="125">
        <f>-22.7-1.2+0.8+22.1</f>
        <v>-0.99999999999999645</v>
      </c>
      <c r="F35" s="125">
        <f>-0.9-1.9-1.7-2.4+2.6+1.6+0.3-0.1</f>
        <v>-2.5000000000000009</v>
      </c>
      <c r="G35" s="126">
        <v>-33.200000000000003</v>
      </c>
      <c r="H35" s="125">
        <v>-5.8</v>
      </c>
      <c r="I35" s="127">
        <f>0.8+9.8-4.3</f>
        <v>6.3000000000000016</v>
      </c>
      <c r="J35" s="126">
        <f>35.8-78.5</f>
        <v>-42.7</v>
      </c>
      <c r="K35" s="125">
        <f>1.5-3.1</f>
        <v>-1.6</v>
      </c>
      <c r="L35" s="125">
        <v>-21.1</v>
      </c>
      <c r="M35" s="127">
        <v>-0.4</v>
      </c>
      <c r="N35" s="126">
        <f t="shared" si="0"/>
        <v>-1.3000000000000056</v>
      </c>
      <c r="O35" s="125">
        <f t="shared" si="3"/>
        <v>97.2</v>
      </c>
      <c r="P35" s="125">
        <f t="shared" si="1"/>
        <v>64</v>
      </c>
      <c r="Q35" s="127">
        <f t="shared" si="2"/>
        <v>37.1</v>
      </c>
    </row>
    <row r="36" spans="1:17" ht="13.5" customHeight="1" x14ac:dyDescent="0.25">
      <c r="A36" s="11">
        <v>1993</v>
      </c>
      <c r="B36" s="126">
        <v>85.9</v>
      </c>
      <c r="C36" s="125">
        <v>39.1</v>
      </c>
      <c r="D36" s="125">
        <v>6.2</v>
      </c>
      <c r="E36" s="125">
        <f>-9.2-6.8-2.9+23.3</f>
        <v>4.4000000000000021</v>
      </c>
      <c r="F36" s="125">
        <f>2.4+8.6-2-0.7+1.8</f>
        <v>10.100000000000001</v>
      </c>
      <c r="G36" s="126">
        <v>-54.2</v>
      </c>
      <c r="H36" s="125">
        <v>-78</v>
      </c>
      <c r="I36" s="127">
        <v>2.8</v>
      </c>
      <c r="J36" s="126">
        <f>58.1-57.8</f>
        <v>0.30000000000000426</v>
      </c>
      <c r="K36" s="125">
        <v>1.5</v>
      </c>
      <c r="L36" s="125">
        <v>-21.1</v>
      </c>
      <c r="M36" s="127">
        <v>-1.8</v>
      </c>
      <c r="N36" s="126">
        <f t="shared" si="0"/>
        <v>-4.8000000000000105</v>
      </c>
      <c r="O36" s="125">
        <f t="shared" si="3"/>
        <v>145.69999999999999</v>
      </c>
      <c r="P36" s="125">
        <f t="shared" si="1"/>
        <v>91.499999999999986</v>
      </c>
      <c r="Q36" s="127">
        <f t="shared" si="2"/>
        <v>-7.6000000000000156</v>
      </c>
    </row>
    <row r="37" spans="1:17" ht="13.5" customHeight="1" x14ac:dyDescent="0.25">
      <c r="A37" s="9">
        <v>1994</v>
      </c>
      <c r="B37" s="126">
        <v>115.4</v>
      </c>
      <c r="C37" s="125">
        <v>48.8</v>
      </c>
      <c r="D37" s="125">
        <v>8.1</v>
      </c>
      <c r="E37" s="125">
        <f>-29.1-22.2-4.9+61.5</f>
        <v>5.3000000000000043</v>
      </c>
      <c r="F37" s="125">
        <v>-4.5999999999999996</v>
      </c>
      <c r="G37" s="126">
        <v>-88.5</v>
      </c>
      <c r="H37" s="125">
        <v>-78.8</v>
      </c>
      <c r="I37" s="127">
        <v>0.7</v>
      </c>
      <c r="J37" s="126">
        <f>49.1-29.6</f>
        <v>19.5</v>
      </c>
      <c r="K37" s="125">
        <v>1.1000000000000001</v>
      </c>
      <c r="L37" s="125">
        <v>-25.4</v>
      </c>
      <c r="M37" s="127">
        <v>0.7</v>
      </c>
      <c r="N37" s="126">
        <f t="shared" si="0"/>
        <v>2.3000000000000052</v>
      </c>
      <c r="O37" s="125">
        <f t="shared" si="3"/>
        <v>173</v>
      </c>
      <c r="P37" s="125">
        <f t="shared" si="1"/>
        <v>84.5</v>
      </c>
      <c r="Q37" s="127">
        <f t="shared" si="2"/>
        <v>-19.699999999999996</v>
      </c>
    </row>
    <row r="38" spans="1:17" ht="13.5" customHeight="1" x14ac:dyDescent="0.25">
      <c r="A38" s="10">
        <v>1995</v>
      </c>
      <c r="B38" s="128">
        <v>134.9</v>
      </c>
      <c r="C38" s="129">
        <v>58</v>
      </c>
      <c r="D38" s="129">
        <v>9.1</v>
      </c>
      <c r="E38" s="129">
        <f>11.4-14.8-0.7+6.1</f>
        <v>1.9999999999999991</v>
      </c>
      <c r="F38" s="129">
        <v>-0.8</v>
      </c>
      <c r="G38" s="128">
        <v>-93.9</v>
      </c>
      <c r="H38" s="129">
        <v>-28.7</v>
      </c>
      <c r="I38" s="131">
        <v>-0.6</v>
      </c>
      <c r="J38" s="128">
        <f>62.5-83.2</f>
        <v>-20.700000000000003</v>
      </c>
      <c r="K38" s="129">
        <f>3-24.5</f>
        <v>-21.5</v>
      </c>
      <c r="L38" s="129">
        <v>-31.9</v>
      </c>
      <c r="M38" s="131">
        <v>-1.9</v>
      </c>
      <c r="N38" s="128">
        <f t="shared" si="0"/>
        <v>3.9999999999999845</v>
      </c>
      <c r="O38" s="129">
        <f t="shared" si="3"/>
        <v>203.2</v>
      </c>
      <c r="P38" s="129">
        <f t="shared" si="1"/>
        <v>109.29999999999998</v>
      </c>
      <c r="Q38" s="131">
        <f t="shared" si="2"/>
        <v>48.699999999999982</v>
      </c>
    </row>
    <row r="39" spans="1:17" ht="13.5" customHeight="1" x14ac:dyDescent="0.25">
      <c r="A39" s="9">
        <v>1996</v>
      </c>
      <c r="B39" s="126">
        <v>140.5</v>
      </c>
      <c r="C39" s="125">
        <v>75.8</v>
      </c>
      <c r="D39" s="125">
        <v>16.399999999999999</v>
      </c>
      <c r="E39" s="125">
        <f>-17-10.3+0.7+2.3</f>
        <v>-24.3</v>
      </c>
      <c r="F39" s="125">
        <f>24.4+4+14.2-13.4+0.5</f>
        <v>29.699999999999996</v>
      </c>
      <c r="G39" s="126">
        <v>-96.2</v>
      </c>
      <c r="H39" s="125">
        <v>-89.7</v>
      </c>
      <c r="I39" s="127">
        <v>-3.1</v>
      </c>
      <c r="J39" s="126">
        <f>292.9-309.4</f>
        <v>-16.5</v>
      </c>
      <c r="K39" s="125">
        <f>5-10.1</f>
        <v>-5.0999999999999996</v>
      </c>
      <c r="L39" s="125">
        <v>-30.3</v>
      </c>
      <c r="M39" s="127">
        <v>-1.7</v>
      </c>
      <c r="N39" s="126">
        <f t="shared" si="0"/>
        <v>-4.5000000000000293</v>
      </c>
      <c r="O39" s="125">
        <f t="shared" si="3"/>
        <v>238.1</v>
      </c>
      <c r="P39" s="125">
        <f t="shared" si="1"/>
        <v>141.89999999999998</v>
      </c>
      <c r="Q39" s="127">
        <f t="shared" si="2"/>
        <v>21.899999999999974</v>
      </c>
    </row>
    <row r="40" spans="1:17" ht="13.5" customHeight="1" x14ac:dyDescent="0.25">
      <c r="A40" s="9">
        <v>1997</v>
      </c>
      <c r="B40" s="126">
        <v>208.3</v>
      </c>
      <c r="C40" s="125">
        <v>88.3</v>
      </c>
      <c r="D40" s="125">
        <v>17.3</v>
      </c>
      <c r="E40" s="125">
        <f>-52.1-15-5.1+42.3</f>
        <v>-29.899999999999991</v>
      </c>
      <c r="F40" s="125">
        <f>7.9-1.5-2.1</f>
        <v>4.3000000000000007</v>
      </c>
      <c r="G40" s="126">
        <v>-119.4</v>
      </c>
      <c r="H40" s="125">
        <v>-171.6</v>
      </c>
      <c r="I40" s="127">
        <v>8.1999999999999993</v>
      </c>
      <c r="J40" s="126">
        <f>214.8-164.7</f>
        <v>50.100000000000023</v>
      </c>
      <c r="K40" s="125">
        <f>6.6-5.7</f>
        <v>0.89999999999999947</v>
      </c>
      <c r="L40" s="125">
        <v>-48</v>
      </c>
      <c r="M40" s="127">
        <v>-4.5</v>
      </c>
      <c r="N40" s="126">
        <f t="shared" si="0"/>
        <v>4.0000000000000924</v>
      </c>
      <c r="O40" s="125">
        <f t="shared" si="3"/>
        <v>288.30000000000007</v>
      </c>
      <c r="P40" s="125">
        <f t="shared" si="1"/>
        <v>168.90000000000006</v>
      </c>
      <c r="Q40" s="127">
        <f t="shared" si="2"/>
        <v>-50.699999999999932</v>
      </c>
    </row>
    <row r="41" spans="1:17" ht="13.5" customHeight="1" x14ac:dyDescent="0.25">
      <c r="A41" s="9">
        <v>1998</v>
      </c>
      <c r="B41" s="126">
        <v>248</v>
      </c>
      <c r="C41" s="125">
        <v>106.1</v>
      </c>
      <c r="D41" s="125">
        <v>21.8</v>
      </c>
      <c r="E41" s="125">
        <f>-31.5-6.6-7.2-0.2</f>
        <v>-45.500000000000007</v>
      </c>
      <c r="F41" s="125">
        <f>10.8+17.3-3.6</f>
        <v>24.5</v>
      </c>
      <c r="G41" s="126">
        <v>-147.6</v>
      </c>
      <c r="H41" s="125">
        <v>-117.1</v>
      </c>
      <c r="I41" s="127">
        <v>6.7</v>
      </c>
      <c r="J41" s="126">
        <f>269.7-216.9</f>
        <v>52.799999999999983</v>
      </c>
      <c r="K41" s="125">
        <f>5-13.5</f>
        <v>-8.5</v>
      </c>
      <c r="L41" s="125">
        <v>-59.9</v>
      </c>
      <c r="M41" s="127">
        <v>-5.5</v>
      </c>
      <c r="N41" s="126">
        <f t="shared" si="0"/>
        <v>75.80000000000004</v>
      </c>
      <c r="O41" s="125">
        <f t="shared" si="3"/>
        <v>354.90000000000003</v>
      </c>
      <c r="P41" s="125">
        <f t="shared" si="1"/>
        <v>207.30000000000004</v>
      </c>
      <c r="Q41" s="127">
        <f t="shared" si="2"/>
        <v>30.300000000000047</v>
      </c>
    </row>
    <row r="42" spans="1:17" ht="13.5" customHeight="1" x14ac:dyDescent="0.25">
      <c r="A42" s="9">
        <v>1999</v>
      </c>
      <c r="B42" s="126">
        <v>290.5</v>
      </c>
      <c r="C42" s="125">
        <v>120.5</v>
      </c>
      <c r="D42" s="125">
        <v>28.8</v>
      </c>
      <c r="E42" s="125">
        <f>5-74-4.7+15.7</f>
        <v>-58</v>
      </c>
      <c r="F42" s="125">
        <v>-11</v>
      </c>
      <c r="G42" s="126">
        <v>-159.1</v>
      </c>
      <c r="H42" s="125">
        <v>-290.10000000000002</v>
      </c>
      <c r="I42" s="127">
        <v>8.1999999999999993</v>
      </c>
      <c r="J42" s="126">
        <f>255.6-98.6</f>
        <v>157</v>
      </c>
      <c r="K42" s="125">
        <f>4-81.5</f>
        <v>-77.5</v>
      </c>
      <c r="L42" s="125">
        <v>-69.099999999999994</v>
      </c>
      <c r="M42" s="127">
        <v>-3.1</v>
      </c>
      <c r="N42" s="126">
        <f t="shared" si="0"/>
        <v>-62.9</v>
      </c>
      <c r="O42" s="125">
        <f t="shared" si="3"/>
        <v>370.8</v>
      </c>
      <c r="P42" s="125">
        <f t="shared" si="1"/>
        <v>211.70000000000002</v>
      </c>
      <c r="Q42" s="127">
        <f t="shared" si="2"/>
        <v>-147.5</v>
      </c>
    </row>
    <row r="43" spans="1:17" ht="13.5" customHeight="1" x14ac:dyDescent="0.25">
      <c r="A43" s="10">
        <v>2000</v>
      </c>
      <c r="B43" s="128">
        <v>264.10000000000002</v>
      </c>
      <c r="C43" s="129">
        <v>139.19999999999999</v>
      </c>
      <c r="D43" s="129">
        <v>34.1</v>
      </c>
      <c r="E43" s="129">
        <f>-2.7-8.7-1.7+5.2</f>
        <v>-7.8999999999999977</v>
      </c>
      <c r="F43" s="129">
        <f>13.1-1.8</f>
        <v>11.299999999999999</v>
      </c>
      <c r="G43" s="128">
        <v>-169.7</v>
      </c>
      <c r="H43" s="129">
        <v>-252.3</v>
      </c>
      <c r="I43" s="131">
        <v>-15.2</v>
      </c>
      <c r="J43" s="128">
        <f>398.4-252.9</f>
        <v>145.49999999999997</v>
      </c>
      <c r="K43" s="129">
        <f>4.7-53.9</f>
        <v>-49.199999999999996</v>
      </c>
      <c r="L43" s="129">
        <v>-78.599999999999994</v>
      </c>
      <c r="M43" s="131">
        <v>-4.5999999999999996</v>
      </c>
      <c r="N43" s="128">
        <f t="shared" ref="N43:N48" si="4">SUM(B43:M43)</f>
        <v>16.700000000000067</v>
      </c>
      <c r="O43" s="129">
        <f t="shared" si="3"/>
        <v>440.80000000000007</v>
      </c>
      <c r="P43" s="129">
        <f t="shared" ref="P43:P48" si="5">+O43+G43</f>
        <v>271.10000000000008</v>
      </c>
      <c r="Q43" s="131">
        <f t="shared" ref="Q43:Q48" si="6">+O43+G43+H43+L43</f>
        <v>-59.799999999999926</v>
      </c>
    </row>
    <row r="44" spans="1:17" ht="13.5" customHeight="1" x14ac:dyDescent="0.25">
      <c r="A44" s="9">
        <v>2001</v>
      </c>
      <c r="B44" s="126">
        <v>187.6</v>
      </c>
      <c r="C44" s="125">
        <v>156.69999999999999</v>
      </c>
      <c r="D44" s="125">
        <v>39.9</v>
      </c>
      <c r="E44" s="125">
        <v>181.6</v>
      </c>
      <c r="F44" s="125">
        <v>-31.3</v>
      </c>
      <c r="G44" s="126">
        <v>-128</v>
      </c>
      <c r="H44" s="125">
        <v>-95.1</v>
      </c>
      <c r="I44" s="127">
        <v>41.9</v>
      </c>
      <c r="J44" s="126">
        <f>49.1-108.7</f>
        <v>-59.6</v>
      </c>
      <c r="K44" s="125">
        <f>11.9-63.2</f>
        <v>-51.300000000000004</v>
      </c>
      <c r="L44" s="125">
        <v>-92.5</v>
      </c>
      <c r="M44" s="127">
        <v>0</v>
      </c>
      <c r="N44" s="126">
        <f t="shared" si="4"/>
        <v>149.89999999999992</v>
      </c>
      <c r="O44" s="125">
        <f t="shared" si="3"/>
        <v>534.5</v>
      </c>
      <c r="P44" s="125">
        <f t="shared" si="5"/>
        <v>406.5</v>
      </c>
      <c r="Q44" s="127">
        <f t="shared" si="6"/>
        <v>218.89999999999998</v>
      </c>
    </row>
    <row r="45" spans="1:17" ht="13.5" customHeight="1" x14ac:dyDescent="0.25">
      <c r="A45" s="9">
        <v>2002</v>
      </c>
      <c r="B45" s="126">
        <v>233.1</v>
      </c>
      <c r="C45" s="125">
        <v>154.4</v>
      </c>
      <c r="D45" s="125">
        <v>10.199999999999999</v>
      </c>
      <c r="E45" s="125">
        <v>32.4</v>
      </c>
      <c r="F45" s="127">
        <v>25.8</v>
      </c>
      <c r="G45" s="125">
        <v>-124</v>
      </c>
      <c r="H45" s="125">
        <v>-45.6</v>
      </c>
      <c r="I45" s="127">
        <v>23.3</v>
      </c>
      <c r="J45" s="125">
        <f>15.7-110.7</f>
        <v>-95</v>
      </c>
      <c r="K45" s="125">
        <v>-80.5</v>
      </c>
      <c r="L45" s="125">
        <v>-96.3</v>
      </c>
      <c r="M45" s="127">
        <v>0</v>
      </c>
      <c r="N45" s="126">
        <f t="shared" si="4"/>
        <v>37.799999999999969</v>
      </c>
      <c r="O45" s="125">
        <f t="shared" si="3"/>
        <v>455.9</v>
      </c>
      <c r="P45" s="125">
        <f t="shared" si="5"/>
        <v>331.9</v>
      </c>
      <c r="Q45" s="127">
        <f t="shared" si="6"/>
        <v>189.99999999999994</v>
      </c>
    </row>
    <row r="46" spans="1:17" ht="13.5" customHeight="1" x14ac:dyDescent="0.25">
      <c r="A46" s="60">
        <v>2003</v>
      </c>
      <c r="B46" s="125">
        <v>205.9</v>
      </c>
      <c r="C46" s="125">
        <v>158.6</v>
      </c>
      <c r="D46" s="125">
        <v>8.4</v>
      </c>
      <c r="E46" s="125">
        <v>-0.8</v>
      </c>
      <c r="F46" s="127">
        <v>23.2</v>
      </c>
      <c r="G46" s="125">
        <v>-136.6</v>
      </c>
      <c r="H46" s="125">
        <v>-120.4</v>
      </c>
      <c r="I46" s="127">
        <v>50.9</v>
      </c>
      <c r="J46" s="125">
        <v>211.4</v>
      </c>
      <c r="K46" s="125">
        <v>-79</v>
      </c>
      <c r="L46" s="125">
        <v>-102.7</v>
      </c>
      <c r="M46" s="127">
        <v>0</v>
      </c>
      <c r="N46" s="126">
        <f t="shared" si="4"/>
        <v>218.89999999999992</v>
      </c>
      <c r="O46" s="125">
        <f t="shared" si="3"/>
        <v>395.29999999999995</v>
      </c>
      <c r="P46" s="125">
        <f t="shared" si="5"/>
        <v>258.69999999999993</v>
      </c>
      <c r="Q46" s="127">
        <f t="shared" si="6"/>
        <v>35.599999999999923</v>
      </c>
    </row>
    <row r="47" spans="1:17" ht="13.5" customHeight="1" x14ac:dyDescent="0.25">
      <c r="A47" s="60">
        <v>2004</v>
      </c>
      <c r="B47" s="88">
        <v>285.39999999999998</v>
      </c>
      <c r="C47" s="88">
        <v>166.7</v>
      </c>
      <c r="D47" s="88">
        <v>10.5</v>
      </c>
      <c r="E47" s="88">
        <v>-114.5</v>
      </c>
      <c r="F47" s="91">
        <v>-5.6</v>
      </c>
      <c r="G47" s="88">
        <v>-157.1</v>
      </c>
      <c r="H47" s="88">
        <v>-46.4</v>
      </c>
      <c r="I47" s="91">
        <v>33.1</v>
      </c>
      <c r="J47" s="88">
        <v>59</v>
      </c>
      <c r="K47" s="88">
        <v>-73.753999999999991</v>
      </c>
      <c r="L47" s="88">
        <v>-109.9</v>
      </c>
      <c r="M47" s="127">
        <v>0</v>
      </c>
      <c r="N47" s="126">
        <f t="shared" si="4"/>
        <v>47.445999999999941</v>
      </c>
      <c r="O47" s="125">
        <f t="shared" si="3"/>
        <v>342.49999999999994</v>
      </c>
      <c r="P47" s="125">
        <f t="shared" si="5"/>
        <v>185.39999999999995</v>
      </c>
      <c r="Q47" s="127">
        <f t="shared" si="6"/>
        <v>29.099999999999937</v>
      </c>
    </row>
    <row r="48" spans="1:17" ht="13.5" customHeight="1" x14ac:dyDescent="0.25">
      <c r="A48" s="10">
        <v>2005</v>
      </c>
      <c r="B48" s="206">
        <v>251.3</v>
      </c>
      <c r="C48" s="207">
        <f>160.8</f>
        <v>160.80000000000001</v>
      </c>
      <c r="D48" s="207">
        <f>10.3</f>
        <v>10.3</v>
      </c>
      <c r="E48" s="207">
        <v>9.1</v>
      </c>
      <c r="F48" s="207">
        <v>16.8</v>
      </c>
      <c r="G48" s="206">
        <v>-164.2</v>
      </c>
      <c r="H48" s="207">
        <v>-181</v>
      </c>
      <c r="I48" s="208">
        <f>14.9-8.2-3.9</f>
        <v>2.8000000000000012</v>
      </c>
      <c r="J48" s="206">
        <f>246-433</f>
        <v>-187</v>
      </c>
      <c r="K48" s="207">
        <v>-226.9</v>
      </c>
      <c r="L48" s="207">
        <v>-118.4</v>
      </c>
      <c r="M48" s="208">
        <v>0</v>
      </c>
      <c r="N48" s="206">
        <f t="shared" si="4"/>
        <v>-426.4</v>
      </c>
      <c r="O48" s="207">
        <f t="shared" ref="O48:O53" si="7">SUM(B48:F48)</f>
        <v>448.30000000000007</v>
      </c>
      <c r="P48" s="207">
        <f t="shared" si="5"/>
        <v>284.10000000000008</v>
      </c>
      <c r="Q48" s="208">
        <f t="shared" si="6"/>
        <v>-15.299999999999926</v>
      </c>
    </row>
    <row r="49" spans="1:24" ht="13.5" customHeight="1" x14ac:dyDescent="0.25">
      <c r="A49" s="9">
        <v>2006</v>
      </c>
      <c r="B49" s="126">
        <v>300.3</v>
      </c>
      <c r="C49" s="125">
        <v>156.6</v>
      </c>
      <c r="D49" s="125">
        <v>18.8</v>
      </c>
      <c r="E49" s="214">
        <f>11.1-61.2-2.9-5.3-5.7</f>
        <v>-64</v>
      </c>
      <c r="F49" s="127">
        <f>4.3+10.7-10.3+5.3+48.6+8.6</f>
        <v>67.2</v>
      </c>
      <c r="G49" s="126">
        <v>-166.3</v>
      </c>
      <c r="H49" s="125">
        <v>-83.2</v>
      </c>
      <c r="I49" s="127">
        <f>31.8-13.8</f>
        <v>18</v>
      </c>
      <c r="J49" s="126">
        <f>187-114</f>
        <v>73</v>
      </c>
      <c r="K49" s="125">
        <f>10.6-150.3</f>
        <v>-139.70000000000002</v>
      </c>
      <c r="L49" s="125">
        <v>-121.1</v>
      </c>
      <c r="M49" s="127">
        <f>1.7+5.7</f>
        <v>7.4</v>
      </c>
      <c r="N49" s="126">
        <f t="shared" ref="N49:N54" si="8">SUM(B49:M49)</f>
        <v>66.999999999999972</v>
      </c>
      <c r="O49" s="125">
        <f t="shared" si="7"/>
        <v>478.9</v>
      </c>
      <c r="P49" s="125">
        <f t="shared" ref="P49:P54" si="9">+O49+G49</f>
        <v>312.59999999999997</v>
      </c>
      <c r="Q49" s="127">
        <f t="shared" ref="Q49:Q54" si="10">+O49+G49+H49+L49</f>
        <v>108.29999999999998</v>
      </c>
    </row>
    <row r="50" spans="1:24" ht="13.5" customHeight="1" x14ac:dyDescent="0.25">
      <c r="A50" s="9">
        <v>2007</v>
      </c>
      <c r="B50" s="126">
        <v>-11.2</v>
      </c>
      <c r="C50" s="125">
        <v>156.9</v>
      </c>
      <c r="D50" s="125">
        <v>26.5</v>
      </c>
      <c r="E50" s="125">
        <f>98.9+65.5+10.5+13-6.2</f>
        <v>181.70000000000002</v>
      </c>
      <c r="F50" s="127">
        <f>243+44.1+22.5-35.8-56.1+49-6.9</f>
        <v>259.80000000000007</v>
      </c>
      <c r="G50" s="125">
        <v>-148.80000000000001</v>
      </c>
      <c r="H50" s="125">
        <v>-111.3</v>
      </c>
      <c r="I50" s="127">
        <f>111.9-9.8</f>
        <v>102.10000000000001</v>
      </c>
      <c r="J50" s="125">
        <f>154.5-188.5</f>
        <v>-34</v>
      </c>
      <c r="K50" s="125">
        <f>7.2-237.1</f>
        <v>-229.9</v>
      </c>
      <c r="L50" s="125">
        <v>-124.8</v>
      </c>
      <c r="M50" s="127">
        <f>+-2.8+9.3</f>
        <v>6.5000000000000009</v>
      </c>
      <c r="N50" s="126">
        <f t="shared" si="8"/>
        <v>73.500000000000043</v>
      </c>
      <c r="O50" s="125">
        <f t="shared" si="7"/>
        <v>613.70000000000005</v>
      </c>
      <c r="P50" s="125">
        <f t="shared" si="9"/>
        <v>464.90000000000003</v>
      </c>
      <c r="Q50" s="127">
        <f t="shared" si="10"/>
        <v>228.8</v>
      </c>
    </row>
    <row r="51" spans="1:24" ht="13.5" customHeight="1" x14ac:dyDescent="0.25">
      <c r="A51" s="60">
        <v>2008</v>
      </c>
      <c r="B51" s="125">
        <v>104.4</v>
      </c>
      <c r="C51" s="125">
        <v>115.9</v>
      </c>
      <c r="D51" s="125">
        <v>24.5</v>
      </c>
      <c r="E51" s="125">
        <v>50.4</v>
      </c>
      <c r="F51" s="127">
        <v>141</v>
      </c>
      <c r="G51" s="125">
        <v>-118.3</v>
      </c>
      <c r="H51" s="125">
        <v>-10.3</v>
      </c>
      <c r="I51" s="127">
        <v>391.9</v>
      </c>
      <c r="J51" s="125">
        <v>-275.8</v>
      </c>
      <c r="K51" s="125">
        <v>-290.60000000000002</v>
      </c>
      <c r="L51" s="125">
        <v>-165.1</v>
      </c>
      <c r="M51" s="127">
        <v>-8.6999999999999993</v>
      </c>
      <c r="N51" s="126">
        <f t="shared" si="8"/>
        <v>-40.700000000000031</v>
      </c>
      <c r="O51" s="125">
        <f t="shared" si="7"/>
        <v>436.2</v>
      </c>
      <c r="P51" s="125">
        <f t="shared" si="9"/>
        <v>317.89999999999998</v>
      </c>
      <c r="Q51" s="127">
        <f t="shared" si="10"/>
        <v>142.49999999999997</v>
      </c>
      <c r="U51" s="403"/>
    </row>
    <row r="52" spans="1:24" ht="13.5" customHeight="1" x14ac:dyDescent="0.25">
      <c r="A52" s="60">
        <v>2009</v>
      </c>
      <c r="B52" s="125">
        <v>115</v>
      </c>
      <c r="C52" s="125">
        <v>109.6</v>
      </c>
      <c r="D52" s="125">
        <v>20.7</v>
      </c>
      <c r="E52" s="125">
        <v>185.6</v>
      </c>
      <c r="F52" s="127">
        <f>5.8+128.6</f>
        <v>134.4</v>
      </c>
      <c r="G52" s="125">
        <v>-83</v>
      </c>
      <c r="H52" s="125">
        <v>-2.8</v>
      </c>
      <c r="I52" s="127">
        <f>14.1-0.8</f>
        <v>13.299999999999999</v>
      </c>
      <c r="J52" s="125">
        <v>-64.2</v>
      </c>
      <c r="K52" s="125">
        <v>-188</v>
      </c>
      <c r="L52" s="125">
        <v>-157.19999999999999</v>
      </c>
      <c r="M52" s="127">
        <v>12.4</v>
      </c>
      <c r="N52" s="126">
        <f t="shared" si="8"/>
        <v>95.799999999999983</v>
      </c>
      <c r="O52" s="125">
        <f t="shared" si="7"/>
        <v>565.29999999999995</v>
      </c>
      <c r="P52" s="125">
        <f t="shared" si="9"/>
        <v>482.29999999999995</v>
      </c>
      <c r="Q52" s="127">
        <f t="shared" si="10"/>
        <v>322.29999999999995</v>
      </c>
      <c r="U52" s="403"/>
    </row>
    <row r="53" spans="1:24" ht="13.5" customHeight="1" x14ac:dyDescent="0.25">
      <c r="A53" s="253">
        <v>2010</v>
      </c>
      <c r="B53" s="129">
        <v>182.8</v>
      </c>
      <c r="C53" s="129">
        <v>103</v>
      </c>
      <c r="D53" s="129">
        <v>19.8</v>
      </c>
      <c r="E53" s="129">
        <v>-17.5</v>
      </c>
      <c r="F53" s="131">
        <v>74.400000000000006</v>
      </c>
      <c r="G53" s="129">
        <v>-67.7</v>
      </c>
      <c r="H53" s="129">
        <v>-4.9000000000000004</v>
      </c>
      <c r="I53" s="131">
        <v>7.5</v>
      </c>
      <c r="J53" s="129">
        <v>-45.8</v>
      </c>
      <c r="K53" s="129">
        <v>-106.3</v>
      </c>
      <c r="L53" s="129">
        <v>-154.9</v>
      </c>
      <c r="M53" s="131">
        <v>-6.4</v>
      </c>
      <c r="N53" s="128">
        <f t="shared" si="8"/>
        <v>-15.999999999999995</v>
      </c>
      <c r="O53" s="129">
        <f t="shared" si="7"/>
        <v>362.5</v>
      </c>
      <c r="P53" s="129">
        <f t="shared" si="9"/>
        <v>294.8</v>
      </c>
      <c r="Q53" s="131">
        <f t="shared" si="10"/>
        <v>135.00000000000003</v>
      </c>
      <c r="U53" s="403"/>
    </row>
    <row r="54" spans="1:24" ht="13.5" customHeight="1" x14ac:dyDescent="0.25">
      <c r="A54" s="60">
        <v>2011</v>
      </c>
      <c r="B54" s="125">
        <v>156.4</v>
      </c>
      <c r="C54" s="125">
        <v>98.1</v>
      </c>
      <c r="D54" s="125">
        <v>18.8</v>
      </c>
      <c r="E54" s="125">
        <v>-13.8</v>
      </c>
      <c r="F54" s="334">
        <v>69.400000000000006</v>
      </c>
      <c r="G54" s="125">
        <v>-75</v>
      </c>
      <c r="H54" s="125">
        <v>-6.6</v>
      </c>
      <c r="I54" s="334">
        <v>45</v>
      </c>
      <c r="J54" s="125">
        <v>65.099999999999994</v>
      </c>
      <c r="K54" s="125">
        <v>-204.7</v>
      </c>
      <c r="L54" s="125">
        <v>-155.9</v>
      </c>
      <c r="M54" s="334">
        <f>-8.1+3.1</f>
        <v>-5</v>
      </c>
      <c r="N54" s="125">
        <f t="shared" si="8"/>
        <v>-8.2000000000000171</v>
      </c>
      <c r="O54" s="125">
        <f t="shared" ref="O54:O58" si="11">SUM(B54:F54)</f>
        <v>328.9</v>
      </c>
      <c r="P54" s="125">
        <f t="shared" si="9"/>
        <v>253.89999999999998</v>
      </c>
      <c r="Q54" s="334">
        <f t="shared" si="10"/>
        <v>91.399999999999977</v>
      </c>
    </row>
    <row r="55" spans="1:24" ht="13.5" customHeight="1" x14ac:dyDescent="0.25">
      <c r="A55" s="60">
        <v>2012</v>
      </c>
      <c r="B55" s="125">
        <v>250.5</v>
      </c>
      <c r="C55" s="125">
        <v>90.4</v>
      </c>
      <c r="D55" s="125">
        <v>28.6</v>
      </c>
      <c r="E55" s="125">
        <v>57.4</v>
      </c>
      <c r="F55" s="127">
        <v>22.8</v>
      </c>
      <c r="G55" s="125">
        <v>-71</v>
      </c>
      <c r="H55" s="125">
        <v>-211.6</v>
      </c>
      <c r="I55" s="127">
        <v>-11.4</v>
      </c>
      <c r="J55" s="125">
        <v>201.6</v>
      </c>
      <c r="K55" s="125">
        <v>5.6</v>
      </c>
      <c r="L55" s="125">
        <v>-199.5</v>
      </c>
      <c r="M55" s="127">
        <f>-44.3+3.7</f>
        <v>-40.599999999999994</v>
      </c>
      <c r="N55" s="125">
        <f t="shared" ref="N55:N57" si="12">SUM(B55:M55)</f>
        <v>122.79999999999998</v>
      </c>
      <c r="O55" s="125">
        <f t="shared" si="11"/>
        <v>449.7</v>
      </c>
      <c r="P55" s="125">
        <f t="shared" ref="P55:P57" si="13">+O55+G55</f>
        <v>378.7</v>
      </c>
      <c r="Q55" s="127">
        <f>+O55+G55+H55+L55</f>
        <v>-32.400000000000006</v>
      </c>
    </row>
    <row r="56" spans="1:24" ht="13.5" customHeight="1" x14ac:dyDescent="0.25">
      <c r="A56" s="60">
        <v>2013</v>
      </c>
      <c r="B56" s="125">
        <v>199.7</v>
      </c>
      <c r="C56" s="125">
        <v>90.1</v>
      </c>
      <c r="D56" s="125">
        <v>32.5</v>
      </c>
      <c r="E56" s="125">
        <v>26.4</v>
      </c>
      <c r="F56" s="127">
        <v>68.2</v>
      </c>
      <c r="G56" s="125">
        <v>-80.599999999999994</v>
      </c>
      <c r="H56" s="125">
        <v>-27.9</v>
      </c>
      <c r="I56" s="127">
        <v>33.200000000000003</v>
      </c>
      <c r="J56" s="125">
        <v>-180.4</v>
      </c>
      <c r="K56" s="125">
        <v>-132.5</v>
      </c>
      <c r="L56" s="125">
        <v>-124.9</v>
      </c>
      <c r="M56" s="127">
        <v>9.8000000000000007</v>
      </c>
      <c r="N56" s="125">
        <f t="shared" si="12"/>
        <v>-86.400000000000048</v>
      </c>
      <c r="O56" s="125">
        <f t="shared" si="11"/>
        <v>416.89999999999992</v>
      </c>
      <c r="P56" s="125">
        <f t="shared" si="13"/>
        <v>336.29999999999995</v>
      </c>
      <c r="Q56" s="127">
        <f>+O56+G56+H56+L56</f>
        <v>183.49999999999997</v>
      </c>
    </row>
    <row r="57" spans="1:24" ht="13.5" customHeight="1" x14ac:dyDescent="0.25">
      <c r="A57" s="60">
        <v>2014</v>
      </c>
      <c r="B57" s="125">
        <v>101.2</v>
      </c>
      <c r="C57" s="125">
        <v>89.9</v>
      </c>
      <c r="D57" s="125">
        <v>28</v>
      </c>
      <c r="E57" s="125">
        <v>53.6</v>
      </c>
      <c r="F57" s="127">
        <v>109.2</v>
      </c>
      <c r="G57" s="125">
        <v>-94.1</v>
      </c>
      <c r="H57" s="125">
        <v>-70.400000000000006</v>
      </c>
      <c r="I57" s="127">
        <v>61.8</v>
      </c>
      <c r="J57" s="125">
        <v>87</v>
      </c>
      <c r="K57" s="125">
        <v>-127.9</v>
      </c>
      <c r="L57" s="125">
        <v>-167.5</v>
      </c>
      <c r="M57" s="127">
        <v>-10.7</v>
      </c>
      <c r="N57" s="125">
        <f t="shared" si="12"/>
        <v>60.100000000000037</v>
      </c>
      <c r="O57" s="125">
        <f t="shared" si="11"/>
        <v>381.90000000000003</v>
      </c>
      <c r="P57" s="125">
        <f t="shared" si="13"/>
        <v>287.80000000000007</v>
      </c>
      <c r="Q57" s="127">
        <f>+O57+G57+H57+L57</f>
        <v>49.900000000000063</v>
      </c>
      <c r="U57" s="404"/>
      <c r="V57" s="404"/>
      <c r="W57" s="405"/>
      <c r="X57" s="406"/>
    </row>
    <row r="58" spans="1:24" ht="13.5" customHeight="1" x14ac:dyDescent="0.25">
      <c r="A58" s="253" t="s">
        <v>248</v>
      </c>
      <c r="B58" s="129">
        <v>297.89999999999998</v>
      </c>
      <c r="C58" s="129">
        <v>83.5</v>
      </c>
      <c r="D58" s="129">
        <v>29.7</v>
      </c>
      <c r="E58" s="129">
        <v>-124.3</v>
      </c>
      <c r="F58" s="131">
        <v>72.3</v>
      </c>
      <c r="G58" s="129">
        <v>-103.2</v>
      </c>
      <c r="H58" s="129">
        <v>-11.1</v>
      </c>
      <c r="I58" s="131">
        <f>51.4-6.7</f>
        <v>44.699999999999996</v>
      </c>
      <c r="J58" s="129">
        <v>-3.3</v>
      </c>
      <c r="K58" s="129">
        <v>-183.2</v>
      </c>
      <c r="L58" s="129">
        <v>-171.6</v>
      </c>
      <c r="M58" s="131">
        <f>-19.9+8.9</f>
        <v>-10.999999999999998</v>
      </c>
      <c r="N58" s="129">
        <f>SUM(B58:M58)</f>
        <v>-79.599999999999994</v>
      </c>
      <c r="O58" s="129">
        <f t="shared" si="11"/>
        <v>359.09999999999997</v>
      </c>
      <c r="P58" s="129">
        <f>+O58+G58</f>
        <v>255.89999999999998</v>
      </c>
      <c r="Q58" s="131">
        <f t="shared" ref="Q58" si="14">+O58+G58+H58+L58</f>
        <v>73.199999999999989</v>
      </c>
      <c r="U58" s="404"/>
      <c r="V58" s="404"/>
      <c r="W58" s="405"/>
    </row>
    <row r="59" spans="1:24" ht="6" customHeight="1" x14ac:dyDescent="0.25">
      <c r="A59" s="14"/>
      <c r="O59" s="410"/>
    </row>
    <row r="60" spans="1:24" ht="13" x14ac:dyDescent="0.3">
      <c r="H60" s="300" t="s">
        <v>181</v>
      </c>
      <c r="O60" s="397"/>
    </row>
    <row r="61" spans="1:24" ht="13" x14ac:dyDescent="0.3">
      <c r="H61" s="301" t="s">
        <v>182</v>
      </c>
    </row>
    <row r="62" spans="1:24" ht="15" x14ac:dyDescent="0.3">
      <c r="A62" s="408" t="s">
        <v>247</v>
      </c>
      <c r="B62" s="399"/>
      <c r="C62" s="399"/>
      <c r="D62" s="399"/>
      <c r="E62" s="399"/>
      <c r="F62" s="399"/>
      <c r="G62" s="399"/>
    </row>
    <row r="63" spans="1:24" ht="18.649999999999999" customHeight="1" x14ac:dyDescent="0.25">
      <c r="A63" s="548" t="s">
        <v>252</v>
      </c>
      <c r="B63" s="548"/>
      <c r="C63" s="548"/>
      <c r="D63" s="548"/>
      <c r="E63" s="548"/>
      <c r="F63" s="548"/>
      <c r="G63" s="548"/>
      <c r="H63" s="548"/>
      <c r="I63" s="548"/>
      <c r="J63" s="548"/>
      <c r="K63" s="548"/>
      <c r="L63" s="548"/>
      <c r="M63" s="548"/>
      <c r="N63" s="548"/>
      <c r="O63" s="548"/>
      <c r="P63" s="548"/>
      <c r="Q63" s="548"/>
    </row>
    <row r="64" spans="1:24" x14ac:dyDescent="0.25"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6"/>
      <c r="O64" s="56"/>
    </row>
    <row r="65" spans="1:15" x14ac:dyDescent="0.25">
      <c r="A65" s="4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6"/>
      <c r="O65" s="56"/>
    </row>
    <row r="66" spans="1:15" x14ac:dyDescent="0.25">
      <c r="A66" s="4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6"/>
      <c r="O66" s="56"/>
    </row>
    <row r="67" spans="1:15" x14ac:dyDescent="0.25">
      <c r="A67" s="4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6"/>
      <c r="O67" s="56"/>
    </row>
    <row r="68" spans="1:15" x14ac:dyDescent="0.25">
      <c r="A68" s="4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6"/>
      <c r="O68" s="56"/>
    </row>
    <row r="69" spans="1:15" x14ac:dyDescent="0.25">
      <c r="A69" s="17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6"/>
      <c r="O69" s="56"/>
    </row>
    <row r="70" spans="1:15" x14ac:dyDescent="0.25">
      <c r="A70" s="4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6"/>
      <c r="O70" s="56"/>
    </row>
    <row r="71" spans="1:15" x14ac:dyDescent="0.25">
      <c r="A71" s="4"/>
      <c r="B71" s="18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6"/>
      <c r="O71" s="56"/>
    </row>
    <row r="72" spans="1:15" x14ac:dyDescent="0.25">
      <c r="A72" s="19"/>
      <c r="B72" s="55"/>
      <c r="C72" s="55"/>
      <c r="D72" s="55"/>
      <c r="E72" s="57"/>
      <c r="F72" s="55"/>
      <c r="G72" s="55"/>
      <c r="H72" s="55"/>
      <c r="I72" s="55"/>
      <c r="J72" s="55"/>
      <c r="K72" s="55"/>
      <c r="L72" s="55"/>
      <c r="M72" s="55"/>
      <c r="N72" s="56"/>
      <c r="O72" s="56"/>
    </row>
    <row r="73" spans="1:15" x14ac:dyDescent="0.25">
      <c r="A73" s="4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6"/>
      <c r="O73" s="56"/>
    </row>
    <row r="74" spans="1:15" x14ac:dyDescent="0.25">
      <c r="A74" s="4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8"/>
      <c r="O74" s="58"/>
    </row>
    <row r="75" spans="1:15" x14ac:dyDescent="0.25">
      <c r="A75" s="4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6"/>
      <c r="O75" s="56"/>
    </row>
    <row r="76" spans="1:15" x14ac:dyDescent="0.25">
      <c r="A76" s="4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6"/>
      <c r="O76" s="56"/>
    </row>
    <row r="77" spans="1:15" x14ac:dyDescent="0.25">
      <c r="A77" s="4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6"/>
      <c r="O77" s="56"/>
    </row>
    <row r="78" spans="1:15" x14ac:dyDescent="0.25">
      <c r="A78" s="4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6"/>
      <c r="O78" s="56"/>
    </row>
  </sheetData>
  <mergeCells count="25">
    <mergeCell ref="N5:Q5"/>
    <mergeCell ref="N6:N8"/>
    <mergeCell ref="O6:O8"/>
    <mergeCell ref="Q6:Q8"/>
    <mergeCell ref="J6:J8"/>
    <mergeCell ref="K6:K8"/>
    <mergeCell ref="M6:M8"/>
    <mergeCell ref="L6:L8"/>
    <mergeCell ref="P6:P8"/>
    <mergeCell ref="A63:Q63"/>
    <mergeCell ref="C35:D35"/>
    <mergeCell ref="C34:D34"/>
    <mergeCell ref="G5:I5"/>
    <mergeCell ref="D6:D8"/>
    <mergeCell ref="H6:H8"/>
    <mergeCell ref="I6:I8"/>
    <mergeCell ref="E6:E8"/>
    <mergeCell ref="F6:F8"/>
    <mergeCell ref="G6:G8"/>
    <mergeCell ref="A5:A8"/>
    <mergeCell ref="B9:C9"/>
    <mergeCell ref="B6:B8"/>
    <mergeCell ref="C6:C8"/>
    <mergeCell ref="B5:F5"/>
    <mergeCell ref="J5:M5"/>
  </mergeCells>
  <phoneticPr fontId="0" type="noConversion"/>
  <printOptions horizontalCentered="1"/>
  <pageMargins left="0.3" right="0.3" top="0.25" bottom="0.25" header="0.5" footer="0.5"/>
  <pageSetup scale="60"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F540-A0EB-474B-AB40-AFBB4D943539}">
  <dimension ref="A1:W39"/>
  <sheetViews>
    <sheetView topLeftCell="A2" zoomScaleNormal="100" zoomScaleSheetLayoutView="110" workbookViewId="0">
      <pane xSplit="1" ySplit="7" topLeftCell="B9" activePane="bottomRight" state="frozen"/>
      <selection activeCell="D44" sqref="D44"/>
      <selection pane="topRight" activeCell="D44" sqref="D44"/>
      <selection pane="bottomLeft" activeCell="D44" sqref="D44"/>
      <selection pane="bottomRight" activeCell="A3" sqref="A3"/>
    </sheetView>
  </sheetViews>
  <sheetFormatPr defaultRowHeight="12.5" x14ac:dyDescent="0.25"/>
  <cols>
    <col min="1" max="17" width="10" customWidth="1"/>
    <col min="18" max="18" width="9.26953125" bestFit="1" customWidth="1"/>
    <col min="19" max="19" width="9.453125" bestFit="1" customWidth="1"/>
    <col min="20" max="20" width="9.26953125" bestFit="1" customWidth="1"/>
    <col min="21" max="22" width="11.26953125" bestFit="1" customWidth="1"/>
  </cols>
  <sheetData>
    <row r="1" spans="1:23" hidden="1" x14ac:dyDescent="0.25">
      <c r="P1" s="50"/>
    </row>
    <row r="2" spans="1:23" s="220" customFormat="1" ht="30" x14ac:dyDescent="0.6">
      <c r="A2" s="420" t="s">
        <v>366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219"/>
    </row>
    <row r="3" spans="1:23" s="220" customFormat="1" ht="30" x14ac:dyDescent="0.6">
      <c r="A3" s="422" t="s">
        <v>357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219"/>
    </row>
    <row r="4" spans="1:23" ht="6" customHeight="1" x14ac:dyDescent="0.25">
      <c r="P4" s="59"/>
    </row>
    <row r="5" spans="1:23" ht="14.25" customHeight="1" x14ac:dyDescent="0.3">
      <c r="A5" s="518" t="s">
        <v>9</v>
      </c>
      <c r="B5" s="527" t="s">
        <v>59</v>
      </c>
      <c r="C5" s="528"/>
      <c r="D5" s="528"/>
      <c r="E5" s="528"/>
      <c r="F5" s="528"/>
      <c r="G5" s="527" t="s">
        <v>60</v>
      </c>
      <c r="H5" s="528"/>
      <c r="I5" s="530"/>
      <c r="J5" s="527" t="s">
        <v>61</v>
      </c>
      <c r="K5" s="528"/>
      <c r="L5" s="528"/>
      <c r="M5" s="530"/>
      <c r="N5" s="527" t="s">
        <v>62</v>
      </c>
      <c r="O5" s="528"/>
      <c r="P5" s="528" t="s">
        <v>63</v>
      </c>
      <c r="Q5" s="530" t="s">
        <v>64</v>
      </c>
    </row>
    <row r="6" spans="1:23" ht="12.75" customHeight="1" x14ac:dyDescent="0.25">
      <c r="A6" s="518"/>
      <c r="B6" s="523" t="s">
        <v>65</v>
      </c>
      <c r="C6" s="518" t="s">
        <v>66</v>
      </c>
      <c r="D6" s="518" t="s">
        <v>67</v>
      </c>
      <c r="E6" s="518" t="s">
        <v>68</v>
      </c>
      <c r="F6" s="518" t="s">
        <v>0</v>
      </c>
      <c r="G6" s="523" t="s">
        <v>69</v>
      </c>
      <c r="H6" s="518" t="s">
        <v>70</v>
      </c>
      <c r="I6" s="515" t="s">
        <v>0</v>
      </c>
      <c r="J6" s="523" t="s">
        <v>71</v>
      </c>
      <c r="K6" s="518" t="s">
        <v>72</v>
      </c>
      <c r="L6" s="518" t="s">
        <v>73</v>
      </c>
      <c r="M6" s="515" t="s">
        <v>0</v>
      </c>
      <c r="N6" s="522" t="s">
        <v>74</v>
      </c>
      <c r="O6" s="518" t="s">
        <v>75</v>
      </c>
      <c r="P6" s="518" t="s">
        <v>63</v>
      </c>
      <c r="Q6" s="514" t="s">
        <v>64</v>
      </c>
    </row>
    <row r="7" spans="1:23" ht="12.75" customHeight="1" x14ac:dyDescent="0.25">
      <c r="A7" s="518"/>
      <c r="B7" s="523"/>
      <c r="C7" s="551"/>
      <c r="D7" s="551"/>
      <c r="E7" s="551"/>
      <c r="F7" s="551"/>
      <c r="G7" s="555"/>
      <c r="H7" s="551"/>
      <c r="I7" s="553"/>
      <c r="J7" s="555"/>
      <c r="K7" s="551"/>
      <c r="L7" s="551"/>
      <c r="M7" s="553"/>
      <c r="N7" s="555"/>
      <c r="O7" s="551"/>
      <c r="P7" s="551"/>
      <c r="Q7" s="553"/>
    </row>
    <row r="8" spans="1:23" ht="13" thickBot="1" x14ac:dyDescent="0.3">
      <c r="A8" s="519"/>
      <c r="B8" s="524"/>
      <c r="C8" s="552"/>
      <c r="D8" s="552"/>
      <c r="E8" s="552"/>
      <c r="F8" s="552"/>
      <c r="G8" s="556"/>
      <c r="H8" s="552"/>
      <c r="I8" s="554"/>
      <c r="J8" s="556"/>
      <c r="K8" s="552"/>
      <c r="L8" s="552"/>
      <c r="M8" s="554"/>
      <c r="N8" s="556"/>
      <c r="O8" s="552"/>
      <c r="P8" s="552"/>
      <c r="Q8" s="554"/>
    </row>
    <row r="9" spans="1:23" ht="13.5" customHeight="1" thickBot="1" x14ac:dyDescent="0.35">
      <c r="A9" s="8"/>
      <c r="B9" s="557" t="s">
        <v>14</v>
      </c>
      <c r="C9" s="558"/>
      <c r="D9" s="110"/>
      <c r="E9" s="110"/>
      <c r="F9" s="110"/>
      <c r="G9" s="111"/>
      <c r="H9" s="112"/>
      <c r="I9" s="113"/>
      <c r="J9" s="111"/>
      <c r="K9" s="112"/>
      <c r="L9" s="112"/>
      <c r="M9" s="113"/>
      <c r="N9" s="111"/>
      <c r="O9" s="110"/>
      <c r="P9" s="112"/>
      <c r="Q9" s="114"/>
    </row>
    <row r="10" spans="1:23" ht="13.5" customHeight="1" x14ac:dyDescent="0.25">
      <c r="A10" s="60" t="s">
        <v>249</v>
      </c>
      <c r="B10" s="125">
        <v>394.7</v>
      </c>
      <c r="C10" s="125">
        <v>86.8</v>
      </c>
      <c r="D10" s="125">
        <v>28.6</v>
      </c>
      <c r="E10" s="125">
        <v>4.7</v>
      </c>
      <c r="F10" s="127">
        <v>37.799999999999997</v>
      </c>
      <c r="G10" s="125">
        <v>-124</v>
      </c>
      <c r="H10" s="125">
        <v>-29.5</v>
      </c>
      <c r="I10" s="127">
        <f>86.1+-24.6+-10</f>
        <v>51.499999999999993</v>
      </c>
      <c r="J10" s="125">
        <v>6.5</v>
      </c>
      <c r="K10" s="125">
        <v>-193.1</v>
      </c>
      <c r="L10" s="125">
        <v>-177.4</v>
      </c>
      <c r="M10" s="127">
        <f>-38.2+-19.7</f>
        <v>-57.900000000000006</v>
      </c>
      <c r="N10" s="126">
        <f t="shared" ref="N10:N14" si="0">SUM(B10:M10)</f>
        <v>28.699999999999989</v>
      </c>
      <c r="O10" s="125">
        <f t="shared" ref="O10:O13" si="1">SUM(B10:F10)</f>
        <v>552.6</v>
      </c>
      <c r="P10" s="125">
        <f t="shared" ref="P10:P14" si="2">+O10+G10</f>
        <v>428.6</v>
      </c>
      <c r="Q10" s="127">
        <f t="shared" ref="Q10:Q14" si="3">+O10+G10+H10+L10</f>
        <v>221.70000000000002</v>
      </c>
      <c r="U10" s="405"/>
      <c r="V10" s="405"/>
      <c r="W10" s="405"/>
    </row>
    <row r="11" spans="1:23" ht="13.5" customHeight="1" x14ac:dyDescent="0.25">
      <c r="A11" s="60" t="s">
        <v>250</v>
      </c>
      <c r="B11" s="125">
        <v>307.10000000000002</v>
      </c>
      <c r="C11" s="125">
        <v>95.3</v>
      </c>
      <c r="D11" s="125">
        <v>30.6</v>
      </c>
      <c r="E11" s="125">
        <v>-98.7</v>
      </c>
      <c r="F11" s="127">
        <v>109.4</v>
      </c>
      <c r="G11" s="125">
        <v>-159.4</v>
      </c>
      <c r="H11" s="125">
        <v>-39.1</v>
      </c>
      <c r="I11" s="127">
        <f>37.7+7.5-0.4-11.3</f>
        <v>33.5</v>
      </c>
      <c r="J11" s="125">
        <v>281.5</v>
      </c>
      <c r="K11" s="125">
        <v>-155</v>
      </c>
      <c r="L11" s="125">
        <v>-185.6</v>
      </c>
      <c r="M11" s="127">
        <f>-2.6-2.2-0.6+30</f>
        <v>24.6</v>
      </c>
      <c r="N11" s="125">
        <f t="shared" si="0"/>
        <v>244.20000000000005</v>
      </c>
      <c r="O11" s="125">
        <f t="shared" si="1"/>
        <v>443.70000000000005</v>
      </c>
      <c r="P11" s="125">
        <f t="shared" si="2"/>
        <v>284.30000000000007</v>
      </c>
      <c r="Q11" s="127">
        <f t="shared" si="3"/>
        <v>59.60000000000008</v>
      </c>
      <c r="W11" s="407"/>
    </row>
    <row r="12" spans="1:23" ht="13.5" customHeight="1" x14ac:dyDescent="0.25">
      <c r="A12" s="398" t="s">
        <v>231</v>
      </c>
      <c r="B12" s="125">
        <v>323.7</v>
      </c>
      <c r="C12" s="125">
        <v>104.3</v>
      </c>
      <c r="D12" s="125">
        <v>31.8</v>
      </c>
      <c r="E12" s="125">
        <v>-77.3</v>
      </c>
      <c r="F12" s="127">
        <v>57.8</v>
      </c>
      <c r="G12" s="125">
        <v>-159.6</v>
      </c>
      <c r="H12" s="125">
        <v>-109.2</v>
      </c>
      <c r="I12" s="127">
        <v>-9</v>
      </c>
      <c r="J12" s="125">
        <v>-85.8</v>
      </c>
      <c r="K12" s="125">
        <v>-107.6</v>
      </c>
      <c r="L12" s="125">
        <v>-193.7</v>
      </c>
      <c r="M12" s="127">
        <f>-9.8-23.6</f>
        <v>-33.400000000000006</v>
      </c>
      <c r="N12" s="125">
        <f t="shared" si="0"/>
        <v>-257.99999999999989</v>
      </c>
      <c r="O12" s="125">
        <f t="shared" si="1"/>
        <v>440.3</v>
      </c>
      <c r="P12" s="125">
        <f>+O12+G12</f>
        <v>280.70000000000005</v>
      </c>
      <c r="Q12" s="127">
        <f>+O12+G12+H12+L12</f>
        <v>-22.199999999999932</v>
      </c>
    </row>
    <row r="13" spans="1:23" ht="13.5" customHeight="1" x14ac:dyDescent="0.25">
      <c r="A13" s="398" t="s">
        <v>232</v>
      </c>
      <c r="B13" s="125">
        <v>314.10000000000002</v>
      </c>
      <c r="C13" s="125">
        <v>117.5</v>
      </c>
      <c r="D13" s="125">
        <v>74.400000000000006</v>
      </c>
      <c r="E13" s="125">
        <v>101</v>
      </c>
      <c r="F13" s="127">
        <v>61</v>
      </c>
      <c r="G13" s="125">
        <v>-143.1</v>
      </c>
      <c r="H13" s="125">
        <v>-1265.0999999999999</v>
      </c>
      <c r="I13" s="127">
        <v>-10</v>
      </c>
      <c r="J13" s="125">
        <v>947</v>
      </c>
      <c r="K13" s="125">
        <v>-7.1</v>
      </c>
      <c r="L13" s="125">
        <v>-204.6</v>
      </c>
      <c r="M13" s="127">
        <v>-5.6</v>
      </c>
      <c r="N13" s="125">
        <f t="shared" si="0"/>
        <v>-20.499999999999922</v>
      </c>
      <c r="O13" s="125">
        <f t="shared" si="1"/>
        <v>668</v>
      </c>
      <c r="P13" s="125">
        <f t="shared" si="2"/>
        <v>524.9</v>
      </c>
      <c r="Q13" s="127">
        <f>+O13+G13+H13+L13</f>
        <v>-944.8</v>
      </c>
    </row>
    <row r="14" spans="1:23" ht="13.5" customHeight="1" x14ac:dyDescent="0.25">
      <c r="A14" s="253" t="s">
        <v>233</v>
      </c>
      <c r="B14" s="129">
        <v>253.1</v>
      </c>
      <c r="C14" s="129">
        <v>119.4</v>
      </c>
      <c r="D14" s="129">
        <v>70</v>
      </c>
      <c r="E14" s="129">
        <v>80.2</v>
      </c>
      <c r="F14" s="131">
        <v>79.900000000000006</v>
      </c>
      <c r="G14" s="129">
        <v>-66.2</v>
      </c>
      <c r="H14" s="129">
        <v>0</v>
      </c>
      <c r="I14" s="131">
        <v>17.2</v>
      </c>
      <c r="J14" s="129">
        <v>-227.8</v>
      </c>
      <c r="K14" s="129">
        <v>-9.1</v>
      </c>
      <c r="L14" s="129">
        <v>-211.5</v>
      </c>
      <c r="M14" s="131">
        <v>-3.9</v>
      </c>
      <c r="N14" s="129">
        <f t="shared" si="0"/>
        <v>101.29999999999998</v>
      </c>
      <c r="O14" s="129">
        <f>SUM(B14:F14)</f>
        <v>602.6</v>
      </c>
      <c r="P14" s="129">
        <f t="shared" si="2"/>
        <v>536.4</v>
      </c>
      <c r="Q14" s="131">
        <f t="shared" si="3"/>
        <v>324.89999999999998</v>
      </c>
    </row>
    <row r="15" spans="1:23" ht="13.5" customHeight="1" x14ac:dyDescent="0.25">
      <c r="A15" s="60">
        <v>2021</v>
      </c>
      <c r="B15" s="125">
        <v>402.6</v>
      </c>
      <c r="C15" s="125">
        <v>116.5</v>
      </c>
      <c r="D15" s="125">
        <v>70.8</v>
      </c>
      <c r="E15" s="125">
        <v>-337.6</v>
      </c>
      <c r="F15" s="127">
        <v>19</v>
      </c>
      <c r="G15" s="125">
        <v>-106.6</v>
      </c>
      <c r="H15" s="125">
        <v>-152.6</v>
      </c>
      <c r="I15" s="127">
        <v>33</v>
      </c>
      <c r="J15" s="125">
        <v>184.9</v>
      </c>
      <c r="K15" s="125">
        <v>-6.3</v>
      </c>
      <c r="L15" s="125">
        <v>-218.3</v>
      </c>
      <c r="M15" s="127">
        <f>6.9+0.5</f>
        <v>7.4</v>
      </c>
      <c r="N15" s="125">
        <f>SUM(B15:M15)</f>
        <v>12.799999999999949</v>
      </c>
      <c r="O15" s="125">
        <f>SUM(B15:F15)</f>
        <v>271.29999999999995</v>
      </c>
      <c r="P15" s="125">
        <f>+O15+G15</f>
        <v>164.69999999999996</v>
      </c>
      <c r="Q15" s="127">
        <f>+O15+G15+H15+L15</f>
        <v>-206.20000000000005</v>
      </c>
    </row>
    <row r="16" spans="1:23" ht="13.5" customHeight="1" x14ac:dyDescent="0.25">
      <c r="A16" s="398">
        <v>2022</v>
      </c>
      <c r="B16" s="125">
        <v>309.89999999999998</v>
      </c>
      <c r="C16" s="125">
        <v>110.2</v>
      </c>
      <c r="D16" s="125">
        <v>69.599999999999994</v>
      </c>
      <c r="E16" s="125">
        <v>-78</v>
      </c>
      <c r="F16" s="127">
        <v>29.7</v>
      </c>
      <c r="G16" s="125">
        <v>-100.3</v>
      </c>
      <c r="H16" s="125">
        <v>-83.3</v>
      </c>
      <c r="I16" s="127">
        <v>2.4</v>
      </c>
      <c r="J16" s="125">
        <v>5</v>
      </c>
      <c r="K16" s="125">
        <v>-60.3</v>
      </c>
      <c r="L16" s="125">
        <v>-229.2</v>
      </c>
      <c r="M16" s="127">
        <f>-1.7-19.2</f>
        <v>-20.9</v>
      </c>
      <c r="N16" s="125">
        <f>SUM(B16:M16)</f>
        <v>-45.200000000000124</v>
      </c>
      <c r="O16" s="125">
        <f>SUM(B16:F16)</f>
        <v>441.39999999999992</v>
      </c>
      <c r="P16" s="125">
        <f>+O16+G16</f>
        <v>341.09999999999991</v>
      </c>
      <c r="Q16" s="127">
        <f>+O16+G16+H16+L16</f>
        <v>28.599999999999909</v>
      </c>
    </row>
    <row r="17" spans="1:17" ht="13.5" customHeight="1" x14ac:dyDescent="0.25">
      <c r="A17" s="398">
        <v>2023</v>
      </c>
      <c r="B17" s="125">
        <v>-136.80000000000001</v>
      </c>
      <c r="C17" s="125">
        <v>108.9</v>
      </c>
      <c r="D17" s="125">
        <v>71</v>
      </c>
      <c r="E17" s="125">
        <v>116</v>
      </c>
      <c r="F17" s="127">
        <v>338.1</v>
      </c>
      <c r="G17" s="125">
        <v>-113.8</v>
      </c>
      <c r="H17" s="125">
        <v>0</v>
      </c>
      <c r="I17" s="127">
        <v>22.5</v>
      </c>
      <c r="J17" s="125">
        <v>-107.1</v>
      </c>
      <c r="K17" s="125">
        <v>-6</v>
      </c>
      <c r="L17" s="125">
        <v>-239.4</v>
      </c>
      <c r="M17" s="127">
        <v>-4.4000000000000004</v>
      </c>
      <c r="N17" s="125">
        <f>SUM(B17:M17)</f>
        <v>49.000000000000064</v>
      </c>
      <c r="O17" s="125">
        <f>SUM(B17:F17)</f>
        <v>497.20000000000005</v>
      </c>
      <c r="P17" s="125">
        <f>+O17+G17</f>
        <v>383.40000000000003</v>
      </c>
      <c r="Q17" s="127">
        <f>+O17+G17+H17+L17</f>
        <v>144.00000000000003</v>
      </c>
    </row>
    <row r="18" spans="1:17" ht="13.5" customHeight="1" x14ac:dyDescent="0.25">
      <c r="A18" s="60">
        <v>2024</v>
      </c>
      <c r="B18" s="125">
        <v>-511.4</v>
      </c>
      <c r="C18" s="125">
        <v>112.4</v>
      </c>
      <c r="D18" s="125">
        <v>23.6</v>
      </c>
      <c r="E18" s="125">
        <v>30</v>
      </c>
      <c r="F18" s="444">
        <v>651.1</v>
      </c>
      <c r="G18" s="125">
        <v>-81.599999999999994</v>
      </c>
      <c r="H18" s="125">
        <v>0</v>
      </c>
      <c r="I18" s="444">
        <v>45</v>
      </c>
      <c r="J18" s="125">
        <v>-125.9</v>
      </c>
      <c r="K18" s="125">
        <v>-4.9000000000000004</v>
      </c>
      <c r="L18" s="125">
        <v>-136.30000000000001</v>
      </c>
      <c r="M18" s="444">
        <f>-2.9-14.4</f>
        <v>-17.3</v>
      </c>
      <c r="N18" s="125">
        <f>SUM(B18:M18)</f>
        <v>-15.3</v>
      </c>
      <c r="O18" s="125">
        <f>SUM(B18:F18)</f>
        <v>305.70000000000005</v>
      </c>
      <c r="P18" s="125">
        <f>+O18+G18</f>
        <v>224.10000000000005</v>
      </c>
      <c r="Q18" s="444">
        <f>+O18+G18+H18+L18</f>
        <v>87.80000000000004</v>
      </c>
    </row>
    <row r="19" spans="1:17" ht="13.5" customHeight="1" x14ac:dyDescent="0.25">
      <c r="A19" s="60">
        <v>2025</v>
      </c>
      <c r="B19" s="475">
        <v>235.4</v>
      </c>
      <c r="C19" s="476">
        <v>104.7</v>
      </c>
      <c r="D19" s="476">
        <v>17.7</v>
      </c>
      <c r="E19" s="475">
        <v>83.3</v>
      </c>
      <c r="F19" s="444">
        <v>-102.9</v>
      </c>
      <c r="G19" s="475">
        <v>-57.2</v>
      </c>
      <c r="H19" s="475">
        <v>0</v>
      </c>
      <c r="I19" s="480">
        <v>350.5</v>
      </c>
      <c r="J19" s="476">
        <v>-376.1</v>
      </c>
      <c r="K19" s="476">
        <v>-2.4</v>
      </c>
      <c r="L19" s="476">
        <v>-27</v>
      </c>
      <c r="M19" s="480">
        <v>11.2</v>
      </c>
      <c r="N19" s="475">
        <f>SUM(B19:M19)</f>
        <v>237.19999999999996</v>
      </c>
      <c r="O19" s="475">
        <f t="shared" ref="O19" si="4">SUM(B19:F19)</f>
        <v>338.20000000000005</v>
      </c>
      <c r="P19" s="475">
        <f>+O19+G19</f>
        <v>281.00000000000006</v>
      </c>
      <c r="Q19" s="444">
        <f>+O19+G19+H19+L19</f>
        <v>254.00000000000006</v>
      </c>
    </row>
    <row r="20" spans="1:17" ht="6" customHeight="1" x14ac:dyDescent="0.25">
      <c r="A20" s="14"/>
      <c r="O20" s="410"/>
    </row>
    <row r="21" spans="1:17" ht="13" x14ac:dyDescent="0.3">
      <c r="H21" s="300" t="s">
        <v>181</v>
      </c>
      <c r="O21" s="397"/>
    </row>
    <row r="22" spans="1:17" ht="13" x14ac:dyDescent="0.3">
      <c r="H22" s="301" t="s">
        <v>182</v>
      </c>
    </row>
    <row r="23" spans="1:17" ht="15" x14ac:dyDescent="0.3">
      <c r="A23" s="408" t="s">
        <v>247</v>
      </c>
      <c r="B23" s="399"/>
      <c r="C23" s="399"/>
      <c r="D23" s="399"/>
      <c r="E23" s="399"/>
      <c r="F23" s="399"/>
      <c r="G23" s="399"/>
    </row>
    <row r="24" spans="1:17" ht="18.649999999999999" customHeight="1" x14ac:dyDescent="0.25">
      <c r="A24" s="548" t="s">
        <v>252</v>
      </c>
      <c r="B24" s="548"/>
      <c r="C24" s="548"/>
      <c r="D24" s="548"/>
      <c r="E24" s="548"/>
      <c r="F24" s="548"/>
      <c r="G24" s="548"/>
      <c r="H24" s="548"/>
      <c r="I24" s="548"/>
      <c r="J24" s="548"/>
      <c r="K24" s="548"/>
      <c r="L24" s="548"/>
      <c r="M24" s="548"/>
      <c r="N24" s="548"/>
      <c r="O24" s="548"/>
      <c r="P24" s="548"/>
      <c r="Q24" s="548"/>
    </row>
    <row r="25" spans="1:17" x14ac:dyDescent="0.25"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6"/>
      <c r="O25" s="56"/>
    </row>
    <row r="26" spans="1:17" x14ac:dyDescent="0.25">
      <c r="A26" s="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6"/>
      <c r="O26" s="56"/>
    </row>
    <row r="27" spans="1:17" x14ac:dyDescent="0.25">
      <c r="A27" s="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6"/>
      <c r="O27" s="56"/>
    </row>
    <row r="28" spans="1:17" x14ac:dyDescent="0.25">
      <c r="A28" s="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6"/>
      <c r="O28" s="56"/>
    </row>
    <row r="29" spans="1:17" x14ac:dyDescent="0.25">
      <c r="A29" s="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6"/>
      <c r="O29" s="56"/>
    </row>
    <row r="30" spans="1:17" x14ac:dyDescent="0.25">
      <c r="A30" s="17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6"/>
      <c r="O30" s="56"/>
    </row>
    <row r="31" spans="1:17" x14ac:dyDescent="0.25">
      <c r="A31" s="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6"/>
      <c r="O31" s="56"/>
    </row>
    <row r="32" spans="1:17" x14ac:dyDescent="0.25">
      <c r="A32" s="4"/>
      <c r="B32" s="18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6"/>
      <c r="O32" s="56"/>
    </row>
    <row r="33" spans="1:15" x14ac:dyDescent="0.25">
      <c r="A33" s="19"/>
      <c r="B33" s="55"/>
      <c r="C33" s="55"/>
      <c r="D33" s="55"/>
      <c r="E33" s="57"/>
      <c r="F33" s="55"/>
      <c r="G33" s="55"/>
      <c r="H33" s="55"/>
      <c r="I33" s="55"/>
      <c r="J33" s="55"/>
      <c r="K33" s="55"/>
      <c r="L33" s="55"/>
      <c r="M33" s="55"/>
      <c r="N33" s="56"/>
      <c r="O33" s="56"/>
    </row>
    <row r="34" spans="1:15" x14ac:dyDescent="0.25">
      <c r="A34" s="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6"/>
      <c r="O34" s="56"/>
    </row>
    <row r="35" spans="1:15" x14ac:dyDescent="0.25">
      <c r="A35" s="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8"/>
      <c r="O35" s="58"/>
    </row>
    <row r="36" spans="1:15" x14ac:dyDescent="0.25">
      <c r="A36" s="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6"/>
      <c r="O36" s="56"/>
    </row>
    <row r="37" spans="1:15" x14ac:dyDescent="0.25">
      <c r="A37" s="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6"/>
      <c r="O37" s="56"/>
    </row>
    <row r="38" spans="1:15" x14ac:dyDescent="0.25">
      <c r="A38" s="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6"/>
      <c r="O38" s="56"/>
    </row>
    <row r="39" spans="1:15" x14ac:dyDescent="0.25">
      <c r="A39" s="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6"/>
      <c r="O39" s="56"/>
    </row>
  </sheetData>
  <mergeCells count="23">
    <mergeCell ref="J5:M5"/>
    <mergeCell ref="N5:Q5"/>
    <mergeCell ref="B6:B8"/>
    <mergeCell ref="C6:C8"/>
    <mergeCell ref="D6:D8"/>
    <mergeCell ref="E6:E8"/>
    <mergeCell ref="F6:F8"/>
    <mergeCell ref="A24:Q24"/>
    <mergeCell ref="M6:M8"/>
    <mergeCell ref="N6:N8"/>
    <mergeCell ref="O6:O8"/>
    <mergeCell ref="P6:P8"/>
    <mergeCell ref="Q6:Q8"/>
    <mergeCell ref="B9:C9"/>
    <mergeCell ref="G6:G8"/>
    <mergeCell ref="H6:H8"/>
    <mergeCell ref="I6:I8"/>
    <mergeCell ref="J6:J8"/>
    <mergeCell ref="K6:K8"/>
    <mergeCell ref="L6:L8"/>
    <mergeCell ref="A5:A8"/>
    <mergeCell ref="B5:F5"/>
    <mergeCell ref="G5:I5"/>
  </mergeCells>
  <printOptions horizontalCentered="1"/>
  <pageMargins left="0.3" right="0.3" top="0.25" bottom="0.25" header="0.5" footer="0.5"/>
  <pageSetup scale="70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X64"/>
  <sheetViews>
    <sheetView zoomScaleNormal="100" zoomScaleSheetLayoutView="100" workbookViewId="0">
      <pane xSplit="1" ySplit="7" topLeftCell="B34" activePane="bottomRight" state="frozen"/>
      <selection activeCell="D44" sqref="D44"/>
      <selection pane="topRight" activeCell="D44" sqref="D44"/>
      <selection pane="bottomLeft" activeCell="D44" sqref="D44"/>
      <selection pane="bottomRight" activeCell="D44" sqref="D44"/>
    </sheetView>
  </sheetViews>
  <sheetFormatPr defaultRowHeight="12.5" x14ac:dyDescent="0.25"/>
  <cols>
    <col min="1" max="1" width="9.26953125" bestFit="1" customWidth="1"/>
    <col min="2" max="2" width="6.7265625" customWidth="1"/>
    <col min="3" max="4" width="7.7265625" customWidth="1"/>
    <col min="5" max="5" width="8.26953125" customWidth="1"/>
    <col min="6" max="6" width="8.1796875" customWidth="1"/>
    <col min="7" max="7" width="8" customWidth="1"/>
    <col min="8" max="8" width="8.7265625" customWidth="1"/>
    <col min="9" max="11" width="6.7265625" customWidth="1"/>
    <col min="12" max="12" width="10.26953125" customWidth="1"/>
    <col min="13" max="14" width="8" customWidth="1"/>
    <col min="15" max="15" width="6.7265625" customWidth="1"/>
    <col min="16" max="16" width="8.1796875" customWidth="1"/>
    <col min="17" max="17" width="8.26953125" bestFit="1" customWidth="1"/>
    <col min="18" max="18" width="8.453125" customWidth="1"/>
    <col min="19" max="19" width="10.1796875" customWidth="1"/>
    <col min="20" max="20" width="9.7265625" customWidth="1"/>
    <col min="21" max="21" width="8.7265625" customWidth="1"/>
    <col min="22" max="22" width="7.7265625" customWidth="1"/>
    <col min="23" max="24" width="8.7265625" customWidth="1"/>
  </cols>
  <sheetData>
    <row r="1" spans="1:24" s="220" customFormat="1" ht="30" x14ac:dyDescent="0.6">
      <c r="A1" s="420" t="s">
        <v>366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</row>
    <row r="2" spans="1:24" s="220" customFormat="1" ht="30" x14ac:dyDescent="0.5">
      <c r="A2" s="474" t="s">
        <v>358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</row>
    <row r="3" spans="1:24" ht="6" customHeight="1" x14ac:dyDescent="0.25"/>
    <row r="4" spans="1:24" ht="15.75" customHeight="1" x14ac:dyDescent="0.3">
      <c r="A4" s="518" t="s">
        <v>9</v>
      </c>
      <c r="B4" s="527" t="s">
        <v>4</v>
      </c>
      <c r="C4" s="528"/>
      <c r="D4" s="528"/>
      <c r="E4" s="528"/>
      <c r="F4" s="528"/>
      <c r="G4" s="530"/>
      <c r="H4" s="527" t="s">
        <v>10</v>
      </c>
      <c r="I4" s="528"/>
      <c r="J4" s="528"/>
      <c r="K4" s="528"/>
      <c r="L4" s="571"/>
      <c r="M4" s="528"/>
      <c r="N4" s="528"/>
      <c r="O4" s="530"/>
      <c r="P4" s="84" t="s">
        <v>37</v>
      </c>
      <c r="Q4" s="84"/>
      <c r="R4" s="85"/>
      <c r="S4" s="85"/>
      <c r="T4" s="86"/>
      <c r="U4" s="527" t="s">
        <v>77</v>
      </c>
      <c r="V4" s="528"/>
      <c r="W4" s="528"/>
      <c r="X4" s="530"/>
    </row>
    <row r="5" spans="1:24" ht="15" customHeight="1" x14ac:dyDescent="0.25">
      <c r="A5" s="518"/>
      <c r="B5" s="572" t="s">
        <v>93</v>
      </c>
      <c r="C5" s="561" t="s">
        <v>94</v>
      </c>
      <c r="D5" s="561" t="s">
        <v>95</v>
      </c>
      <c r="E5" s="561" t="s">
        <v>11</v>
      </c>
      <c r="F5" s="561" t="s">
        <v>38</v>
      </c>
      <c r="G5" s="564" t="s">
        <v>12</v>
      </c>
      <c r="H5" s="561" t="s">
        <v>114</v>
      </c>
      <c r="I5" s="561" t="s">
        <v>115</v>
      </c>
      <c r="J5" s="561" t="s">
        <v>222</v>
      </c>
      <c r="K5" s="561" t="s">
        <v>174</v>
      </c>
      <c r="L5" s="570" t="s">
        <v>116</v>
      </c>
      <c r="M5" s="561" t="s">
        <v>13</v>
      </c>
      <c r="N5" s="561" t="s">
        <v>223</v>
      </c>
      <c r="O5" s="564" t="s">
        <v>96</v>
      </c>
      <c r="P5" s="567"/>
      <c r="Q5" s="567" t="s">
        <v>273</v>
      </c>
      <c r="R5" s="567" t="s">
        <v>275</v>
      </c>
      <c r="S5" s="567" t="s">
        <v>128</v>
      </c>
      <c r="T5" s="567" t="s">
        <v>277</v>
      </c>
      <c r="U5" s="561" t="s">
        <v>12</v>
      </c>
      <c r="V5" s="561" t="s">
        <v>37</v>
      </c>
      <c r="W5" s="561" t="s">
        <v>97</v>
      </c>
      <c r="X5" s="564" t="s">
        <v>78</v>
      </c>
    </row>
    <row r="6" spans="1:24" ht="12.75" customHeight="1" x14ac:dyDescent="0.25">
      <c r="A6" s="518"/>
      <c r="B6" s="572"/>
      <c r="C6" s="562"/>
      <c r="D6" s="562"/>
      <c r="E6" s="562"/>
      <c r="F6" s="562"/>
      <c r="G6" s="565"/>
      <c r="H6" s="562"/>
      <c r="I6" s="562"/>
      <c r="J6" s="562"/>
      <c r="K6" s="562"/>
      <c r="L6" s="562"/>
      <c r="M6" s="562"/>
      <c r="N6" s="562"/>
      <c r="O6" s="565"/>
      <c r="P6" s="568"/>
      <c r="Q6" s="568"/>
      <c r="R6" s="568"/>
      <c r="S6" s="568"/>
      <c r="T6" s="568"/>
      <c r="U6" s="562"/>
      <c r="V6" s="562"/>
      <c r="W6" s="562"/>
      <c r="X6" s="565"/>
    </row>
    <row r="7" spans="1:24" ht="13.5" customHeight="1" thickBot="1" x14ac:dyDescent="0.3">
      <c r="A7" s="519"/>
      <c r="B7" s="573"/>
      <c r="C7" s="563"/>
      <c r="D7" s="563"/>
      <c r="E7" s="563"/>
      <c r="F7" s="563"/>
      <c r="G7" s="566"/>
      <c r="H7" s="563"/>
      <c r="I7" s="563"/>
      <c r="J7" s="563"/>
      <c r="K7" s="563"/>
      <c r="L7" s="563"/>
      <c r="M7" s="563"/>
      <c r="N7" s="563"/>
      <c r="O7" s="566"/>
      <c r="P7" s="569"/>
      <c r="Q7" s="569"/>
      <c r="R7" s="569"/>
      <c r="S7" s="569"/>
      <c r="T7" s="569"/>
      <c r="U7" s="563"/>
      <c r="V7" s="563"/>
      <c r="W7" s="563"/>
      <c r="X7" s="566"/>
    </row>
    <row r="8" spans="1:24" ht="13.5" customHeight="1" thickBot="1" x14ac:dyDescent="0.35">
      <c r="A8" s="8"/>
      <c r="B8" s="559" t="s">
        <v>14</v>
      </c>
      <c r="C8" s="560"/>
      <c r="D8" s="51"/>
      <c r="E8" s="51"/>
      <c r="F8" s="51"/>
      <c r="G8" s="132">
        <v>5.9580000000000002</v>
      </c>
      <c r="H8" s="52"/>
      <c r="I8" s="51"/>
      <c r="J8" s="51"/>
      <c r="K8" s="51"/>
      <c r="L8" s="51"/>
      <c r="M8" s="53">
        <v>0.74099999999999999</v>
      </c>
      <c r="N8" s="53"/>
      <c r="O8" s="54"/>
      <c r="P8" s="133">
        <v>3.7749999999999999</v>
      </c>
      <c r="Q8" s="133"/>
      <c r="R8" s="134">
        <f t="shared" ref="R8:R43" si="0">M8+O8+P8</f>
        <v>4.516</v>
      </c>
      <c r="S8" s="134"/>
      <c r="T8" s="134"/>
      <c r="U8" s="51"/>
      <c r="V8" s="51"/>
      <c r="W8" s="51"/>
      <c r="X8" s="54"/>
    </row>
    <row r="9" spans="1:24" x14ac:dyDescent="0.25">
      <c r="A9" s="11">
        <v>1967</v>
      </c>
      <c r="B9" s="87">
        <v>0.378</v>
      </c>
      <c r="C9" s="88">
        <v>1.5378699999999998</v>
      </c>
      <c r="D9" s="88">
        <v>2.7137579999999999</v>
      </c>
      <c r="E9" s="88">
        <v>4.8770340000000001</v>
      </c>
      <c r="F9" s="88">
        <v>1.9239999999999999</v>
      </c>
      <c r="G9" s="91">
        <v>6.9522340000000007</v>
      </c>
      <c r="H9" s="87">
        <v>0.3</v>
      </c>
      <c r="I9" s="88">
        <v>0.1</v>
      </c>
      <c r="J9" s="88"/>
      <c r="K9" s="88">
        <f t="shared" ref="K9:K44" si="1">+L9-H9-I9</f>
        <v>0.36479899999999998</v>
      </c>
      <c r="L9" s="88">
        <v>0.76479900000000001</v>
      </c>
      <c r="M9" s="88">
        <v>1.6060000000000001</v>
      </c>
      <c r="N9" s="88"/>
      <c r="O9" s="91">
        <f t="shared" ref="O9:O45" si="2">G9-(L9+M9+P9)</f>
        <v>7.4000000000000732E-2</v>
      </c>
      <c r="P9" s="87">
        <v>4.5074350000000001</v>
      </c>
      <c r="Q9" s="87">
        <f t="shared" ref="Q9:Q37" si="3">+M9+I9-B9</f>
        <v>1.3280000000000003</v>
      </c>
      <c r="R9" s="134">
        <f t="shared" si="0"/>
        <v>6.1874350000000007</v>
      </c>
      <c r="S9" s="134">
        <f t="shared" ref="S9:S45" si="4">+R9-B9+I9</f>
        <v>5.9094350000000002</v>
      </c>
      <c r="T9" s="134">
        <f t="shared" ref="T9:T46" si="5">+E9-B9-L9+I9</f>
        <v>3.8342350000000001</v>
      </c>
      <c r="U9" s="135">
        <f>AVERAGE(G8:G9)</f>
        <v>6.4551170000000004</v>
      </c>
      <c r="V9" s="135">
        <f>AVERAGE(P8:P9)</f>
        <v>4.1412174999999998</v>
      </c>
      <c r="W9" s="135">
        <f>AVERAGE(T8:T9)</f>
        <v>3.8342350000000001</v>
      </c>
      <c r="X9" s="136">
        <f t="shared" ref="X9:X42" si="6">AVERAGE(R8:R9)</f>
        <v>5.3517175000000003</v>
      </c>
    </row>
    <row r="10" spans="1:24" x14ac:dyDescent="0.25">
      <c r="A10" s="11">
        <v>1968</v>
      </c>
      <c r="B10" s="87">
        <v>0.35340100000000002</v>
      </c>
      <c r="C10" s="88">
        <v>2.3745729999999998</v>
      </c>
      <c r="D10" s="88">
        <v>4.3511130000000007</v>
      </c>
      <c r="E10" s="88">
        <v>7.318619</v>
      </c>
      <c r="F10" s="88">
        <v>2.9421660000000003</v>
      </c>
      <c r="G10" s="91">
        <v>10.597474</v>
      </c>
      <c r="H10" s="87">
        <v>1.7</v>
      </c>
      <c r="I10" s="88">
        <v>0.2</v>
      </c>
      <c r="J10" s="88"/>
      <c r="K10" s="88">
        <f t="shared" si="1"/>
        <v>1.4420730000000002</v>
      </c>
      <c r="L10" s="88">
        <v>3.3420730000000001</v>
      </c>
      <c r="M10" s="88">
        <v>2.0088689999999998</v>
      </c>
      <c r="N10" s="88"/>
      <c r="O10" s="91">
        <f t="shared" si="2"/>
        <v>9.7739999999999938E-2</v>
      </c>
      <c r="P10" s="87">
        <v>5.1487920000000003</v>
      </c>
      <c r="Q10" s="87">
        <f t="shared" si="3"/>
        <v>1.8554679999999999</v>
      </c>
      <c r="R10" s="134">
        <f t="shared" si="0"/>
        <v>7.255401</v>
      </c>
      <c r="S10" s="134">
        <f t="shared" si="4"/>
        <v>7.1020000000000003</v>
      </c>
      <c r="T10" s="134">
        <f t="shared" si="5"/>
        <v>3.8231450000000002</v>
      </c>
      <c r="U10" s="135">
        <f>AVERAGE(G9:G10)</f>
        <v>8.7748540000000013</v>
      </c>
      <c r="V10" s="135">
        <f>AVERAGE(P9:P10)</f>
        <v>4.8281135000000006</v>
      </c>
      <c r="W10" s="135">
        <f t="shared" ref="W10:W42" si="7">AVERAGE(T9:T10)</f>
        <v>3.8286899999999999</v>
      </c>
      <c r="X10" s="136">
        <f t="shared" si="6"/>
        <v>6.7214179999999999</v>
      </c>
    </row>
    <row r="11" spans="1:24" ht="12.75" customHeight="1" x14ac:dyDescent="0.25">
      <c r="A11" s="11">
        <v>1969</v>
      </c>
      <c r="B11" s="87">
        <v>0.76156100000000004</v>
      </c>
      <c r="C11" s="88">
        <v>2.3682440000000002</v>
      </c>
      <c r="D11" s="88">
        <v>5.2663379999999993</v>
      </c>
      <c r="E11" s="88">
        <v>8.7602589999999996</v>
      </c>
      <c r="F11" s="88">
        <v>6.0383079999999998</v>
      </c>
      <c r="G11" s="91">
        <v>15.225716</v>
      </c>
      <c r="H11" s="87">
        <v>1.5</v>
      </c>
      <c r="I11" s="88">
        <v>2.2000000000000002</v>
      </c>
      <c r="J11" s="88"/>
      <c r="K11" s="88">
        <f t="shared" si="1"/>
        <v>0.49664000000000019</v>
      </c>
      <c r="L11" s="88">
        <v>4.1966400000000004</v>
      </c>
      <c r="M11" s="88">
        <v>2.4159130000000002</v>
      </c>
      <c r="N11" s="88"/>
      <c r="O11" s="91">
        <f t="shared" si="2"/>
        <v>0.18590800000000129</v>
      </c>
      <c r="P11" s="87">
        <v>8.4272549999999988</v>
      </c>
      <c r="Q11" s="87">
        <f t="shared" si="3"/>
        <v>3.8543520000000009</v>
      </c>
      <c r="R11" s="134">
        <f t="shared" si="0"/>
        <v>11.029076</v>
      </c>
      <c r="S11" s="134">
        <f t="shared" si="4"/>
        <v>12.467514999999999</v>
      </c>
      <c r="T11" s="134">
        <f t="shared" si="5"/>
        <v>6.002057999999999</v>
      </c>
      <c r="U11" s="135">
        <f t="shared" ref="U11:U41" si="8">AVERAGE(G10:G11)</f>
        <v>12.911595</v>
      </c>
      <c r="V11" s="135">
        <f t="shared" ref="V11:V41" si="9">AVERAGE(P10:P11)</f>
        <v>6.7880234999999995</v>
      </c>
      <c r="W11" s="135">
        <f t="shared" si="7"/>
        <v>4.9126014999999992</v>
      </c>
      <c r="X11" s="136">
        <f t="shared" si="6"/>
        <v>9.1422384999999995</v>
      </c>
    </row>
    <row r="12" spans="1:24" x14ac:dyDescent="0.25">
      <c r="A12" s="12">
        <v>1970</v>
      </c>
      <c r="B12" s="98">
        <v>0.82256399999999996</v>
      </c>
      <c r="C12" s="99">
        <v>3.7012849999999999</v>
      </c>
      <c r="D12" s="99">
        <v>7.2410709999999998</v>
      </c>
      <c r="E12" s="99">
        <v>12.240677</v>
      </c>
      <c r="F12" s="99">
        <v>8.1753839999999993</v>
      </c>
      <c r="G12" s="101">
        <v>21.22185</v>
      </c>
      <c r="H12" s="98">
        <v>1.7</v>
      </c>
      <c r="I12" s="99">
        <v>1.6</v>
      </c>
      <c r="J12" s="99"/>
      <c r="K12" s="99">
        <f t="shared" si="1"/>
        <v>1.1395389999999996</v>
      </c>
      <c r="L12" s="99">
        <v>4.4395389999999999</v>
      </c>
      <c r="M12" s="99">
        <v>7.1925039999999996</v>
      </c>
      <c r="N12" s="99"/>
      <c r="O12" s="101">
        <f t="shared" si="2"/>
        <v>0.37330000000000041</v>
      </c>
      <c r="P12" s="98">
        <v>9.216507</v>
      </c>
      <c r="Q12" s="98">
        <f t="shared" si="3"/>
        <v>7.9699399999999994</v>
      </c>
      <c r="R12" s="137">
        <f t="shared" si="0"/>
        <v>16.782311</v>
      </c>
      <c r="S12" s="137">
        <f t="shared" si="4"/>
        <v>17.559747000000002</v>
      </c>
      <c r="T12" s="137">
        <f t="shared" si="5"/>
        <v>8.5785739999999997</v>
      </c>
      <c r="U12" s="138">
        <f t="shared" si="8"/>
        <v>18.223783000000001</v>
      </c>
      <c r="V12" s="138">
        <f t="shared" si="9"/>
        <v>8.8218809999999994</v>
      </c>
      <c r="W12" s="138">
        <f t="shared" si="7"/>
        <v>7.2903159999999989</v>
      </c>
      <c r="X12" s="139">
        <f t="shared" si="6"/>
        <v>13.9056935</v>
      </c>
    </row>
    <row r="13" spans="1:24" x14ac:dyDescent="0.25">
      <c r="A13" s="11">
        <v>1971</v>
      </c>
      <c r="B13" s="87">
        <v>0.77029999999999998</v>
      </c>
      <c r="C13" s="88">
        <v>4.2546620000000006</v>
      </c>
      <c r="D13" s="88">
        <v>7.4528509999999999</v>
      </c>
      <c r="E13" s="88">
        <v>13.074102</v>
      </c>
      <c r="F13" s="88">
        <v>9.0436049999999994</v>
      </c>
      <c r="G13" s="91">
        <v>23.215229999999998</v>
      </c>
      <c r="H13" s="87">
        <v>1.2</v>
      </c>
      <c r="I13" s="88">
        <v>0.2</v>
      </c>
      <c r="J13" s="88"/>
      <c r="K13" s="88">
        <f t="shared" si="1"/>
        <v>2.204167</v>
      </c>
      <c r="L13" s="88">
        <v>3.6041669999999999</v>
      </c>
      <c r="M13" s="88">
        <v>8.6681369999999998</v>
      </c>
      <c r="N13" s="88"/>
      <c r="O13" s="91">
        <f t="shared" si="2"/>
        <v>0.61720899999999546</v>
      </c>
      <c r="P13" s="87">
        <v>10.325717000000001</v>
      </c>
      <c r="Q13" s="87">
        <f t="shared" si="3"/>
        <v>8.0978369999999984</v>
      </c>
      <c r="R13" s="134">
        <f t="shared" si="0"/>
        <v>19.611062999999994</v>
      </c>
      <c r="S13" s="134">
        <f t="shared" si="4"/>
        <v>19.040762999999995</v>
      </c>
      <c r="T13" s="134">
        <f t="shared" si="5"/>
        <v>8.8996349999999982</v>
      </c>
      <c r="U13" s="135">
        <f t="shared" si="8"/>
        <v>22.218539999999997</v>
      </c>
      <c r="V13" s="135">
        <f t="shared" si="9"/>
        <v>9.7711120000000005</v>
      </c>
      <c r="W13" s="135">
        <f t="shared" si="7"/>
        <v>8.7391044999999998</v>
      </c>
      <c r="X13" s="136">
        <f t="shared" si="6"/>
        <v>18.196686999999997</v>
      </c>
    </row>
    <row r="14" spans="1:24" x14ac:dyDescent="0.25">
      <c r="A14" s="11">
        <v>1972</v>
      </c>
      <c r="B14" s="87">
        <v>1.3641400000000001</v>
      </c>
      <c r="C14" s="88">
        <v>8.0324919999999995</v>
      </c>
      <c r="D14" s="88">
        <v>11.248721</v>
      </c>
      <c r="E14" s="88">
        <v>21.347077000000002</v>
      </c>
      <c r="F14" s="88">
        <v>15.758205</v>
      </c>
      <c r="G14" s="91">
        <v>39.009307</v>
      </c>
      <c r="H14" s="87">
        <v>2.7</v>
      </c>
      <c r="I14" s="88">
        <v>0.8</v>
      </c>
      <c r="J14" s="88"/>
      <c r="K14" s="88">
        <f t="shared" si="1"/>
        <v>2.8564809999999996</v>
      </c>
      <c r="L14" s="88">
        <v>6.3564809999999996</v>
      </c>
      <c r="M14" s="88">
        <v>11.136689000000001</v>
      </c>
      <c r="N14" s="88"/>
      <c r="O14" s="91">
        <f t="shared" si="2"/>
        <v>0.78000000000000114</v>
      </c>
      <c r="P14" s="87">
        <v>20.736136999999999</v>
      </c>
      <c r="Q14" s="87">
        <f t="shared" si="3"/>
        <v>10.572549</v>
      </c>
      <c r="R14" s="134">
        <f t="shared" si="0"/>
        <v>32.652826000000005</v>
      </c>
      <c r="S14" s="134">
        <f t="shared" si="4"/>
        <v>32.088686000000003</v>
      </c>
      <c r="T14" s="134">
        <f t="shared" si="5"/>
        <v>14.426456000000005</v>
      </c>
      <c r="U14" s="135">
        <f t="shared" si="8"/>
        <v>31.112268499999999</v>
      </c>
      <c r="V14" s="135">
        <f t="shared" si="9"/>
        <v>15.530927</v>
      </c>
      <c r="W14" s="135">
        <f t="shared" si="7"/>
        <v>11.663045500000003</v>
      </c>
      <c r="X14" s="136">
        <f t="shared" si="6"/>
        <v>26.131944499999999</v>
      </c>
    </row>
    <row r="15" spans="1:24" x14ac:dyDescent="0.25">
      <c r="A15" s="11">
        <v>1973</v>
      </c>
      <c r="B15" s="87">
        <v>1.6593689999999999</v>
      </c>
      <c r="C15" s="88">
        <v>10.253830000000001</v>
      </c>
      <c r="D15" s="88">
        <v>17.247641999999999</v>
      </c>
      <c r="E15" s="88">
        <v>30.171293000000002</v>
      </c>
      <c r="F15" s="88">
        <v>20.889965</v>
      </c>
      <c r="G15" s="91">
        <v>53.434311000000001</v>
      </c>
      <c r="H15" s="87">
        <v>4</v>
      </c>
      <c r="I15" s="88">
        <v>3.6</v>
      </c>
      <c r="J15" s="88"/>
      <c r="K15" s="88">
        <f t="shared" si="1"/>
        <v>3.8254519999999999</v>
      </c>
      <c r="L15" s="88">
        <v>11.425452</v>
      </c>
      <c r="M15" s="88">
        <v>16.550237000000003</v>
      </c>
      <c r="N15" s="88"/>
      <c r="O15" s="91">
        <f t="shared" si="2"/>
        <v>1.0203709999999973</v>
      </c>
      <c r="P15" s="87">
        <v>24.438251000000001</v>
      </c>
      <c r="Q15" s="87">
        <f t="shared" si="3"/>
        <v>18.490868000000006</v>
      </c>
      <c r="R15" s="134">
        <f t="shared" si="0"/>
        <v>42.008859000000001</v>
      </c>
      <c r="S15" s="134">
        <f t="shared" si="4"/>
        <v>43.949490000000004</v>
      </c>
      <c r="T15" s="134">
        <f t="shared" si="5"/>
        <v>20.686472000000002</v>
      </c>
      <c r="U15" s="135">
        <f t="shared" si="8"/>
        <v>46.221809</v>
      </c>
      <c r="V15" s="135">
        <f t="shared" si="9"/>
        <v>22.587194</v>
      </c>
      <c r="W15" s="135">
        <f t="shared" si="7"/>
        <v>17.556464000000005</v>
      </c>
      <c r="X15" s="136">
        <f t="shared" si="6"/>
        <v>37.330842500000003</v>
      </c>
    </row>
    <row r="16" spans="1:24" x14ac:dyDescent="0.25">
      <c r="A16" s="11">
        <v>1974</v>
      </c>
      <c r="B16" s="87">
        <v>3.6813000000000002</v>
      </c>
      <c r="C16" s="88">
        <v>9.5121590000000005</v>
      </c>
      <c r="D16" s="88">
        <v>20.826151000000003</v>
      </c>
      <c r="E16" s="88">
        <v>35.417713999999997</v>
      </c>
      <c r="F16" s="88">
        <v>25.284101</v>
      </c>
      <c r="G16" s="91">
        <v>62.755004999999997</v>
      </c>
      <c r="H16" s="87">
        <v>2.7</v>
      </c>
      <c r="I16" s="88">
        <f>2.8+0.9</f>
        <v>3.6999999999999997</v>
      </c>
      <c r="J16" s="88"/>
      <c r="K16" s="88">
        <f t="shared" si="1"/>
        <v>4.0988749999999996</v>
      </c>
      <c r="L16" s="88">
        <v>10.498875</v>
      </c>
      <c r="M16" s="88">
        <v>23.885626999999999</v>
      </c>
      <c r="N16" s="88"/>
      <c r="O16" s="91">
        <f t="shared" si="2"/>
        <v>1.3289999999999935</v>
      </c>
      <c r="P16" s="87">
        <v>27.041503000000002</v>
      </c>
      <c r="Q16" s="87">
        <f t="shared" si="3"/>
        <v>23.904326999999999</v>
      </c>
      <c r="R16" s="134">
        <f t="shared" si="0"/>
        <v>52.256129999999999</v>
      </c>
      <c r="S16" s="134">
        <f t="shared" si="4"/>
        <v>52.274830000000001</v>
      </c>
      <c r="T16" s="134">
        <f t="shared" si="5"/>
        <v>24.937538999999997</v>
      </c>
      <c r="U16" s="135">
        <f t="shared" si="8"/>
        <v>58.094657999999995</v>
      </c>
      <c r="V16" s="135">
        <f t="shared" si="9"/>
        <v>25.739877</v>
      </c>
      <c r="W16" s="135">
        <f t="shared" si="7"/>
        <v>22.812005499999998</v>
      </c>
      <c r="X16" s="136">
        <f t="shared" si="6"/>
        <v>47.1324945</v>
      </c>
    </row>
    <row r="17" spans="1:24" x14ac:dyDescent="0.25">
      <c r="A17" s="12">
        <v>1975</v>
      </c>
      <c r="B17" s="98">
        <v>1.5839380000000001</v>
      </c>
      <c r="C17" s="99">
        <v>10.750007999999999</v>
      </c>
      <c r="D17" s="99">
        <v>17.417999999999999</v>
      </c>
      <c r="E17" s="99">
        <v>31.064758000000001</v>
      </c>
      <c r="F17" s="99">
        <v>24.962060000000001</v>
      </c>
      <c r="G17" s="101">
        <v>59.199036999999997</v>
      </c>
      <c r="H17" s="98">
        <v>4.0999999999999996</v>
      </c>
      <c r="I17" s="99">
        <f>2.5+0.9</f>
        <v>3.4</v>
      </c>
      <c r="J17" s="99"/>
      <c r="K17" s="99">
        <f t="shared" si="1"/>
        <v>4.3285619999999998</v>
      </c>
      <c r="L17" s="99">
        <v>11.828562</v>
      </c>
      <c r="M17" s="99">
        <v>16.293424999999999</v>
      </c>
      <c r="N17" s="99"/>
      <c r="O17" s="101">
        <f t="shared" si="2"/>
        <v>1.5124999999999957</v>
      </c>
      <c r="P17" s="98">
        <v>29.564550000000001</v>
      </c>
      <c r="Q17" s="98">
        <f t="shared" si="3"/>
        <v>18.109486999999998</v>
      </c>
      <c r="R17" s="137">
        <f t="shared" si="0"/>
        <v>47.370474999999999</v>
      </c>
      <c r="S17" s="137">
        <f t="shared" si="4"/>
        <v>49.186536999999994</v>
      </c>
      <c r="T17" s="137">
        <f t="shared" si="5"/>
        <v>21.052258000000002</v>
      </c>
      <c r="U17" s="138">
        <f t="shared" si="8"/>
        <v>60.977020999999993</v>
      </c>
      <c r="V17" s="138">
        <f t="shared" si="9"/>
        <v>28.303026500000001</v>
      </c>
      <c r="W17" s="138">
        <f t="shared" si="7"/>
        <v>22.994898499999998</v>
      </c>
      <c r="X17" s="139">
        <f t="shared" si="6"/>
        <v>49.813302499999999</v>
      </c>
    </row>
    <row r="18" spans="1:24" x14ac:dyDescent="0.25">
      <c r="A18" s="11">
        <v>1976</v>
      </c>
      <c r="B18" s="87">
        <v>2.3343389999999999</v>
      </c>
      <c r="C18" s="88">
        <v>11.324609000000001</v>
      </c>
      <c r="D18" s="88">
        <v>22.766295</v>
      </c>
      <c r="E18" s="88">
        <v>37.733671000000001</v>
      </c>
      <c r="F18" s="88">
        <v>29.339169999999999</v>
      </c>
      <c r="G18" s="91">
        <v>69.893623000000005</v>
      </c>
      <c r="H18" s="87">
        <v>4.4000000000000004</v>
      </c>
      <c r="I18" s="88">
        <v>2.2999999999999998</v>
      </c>
      <c r="J18" s="88"/>
      <c r="K18" s="88">
        <f t="shared" si="1"/>
        <v>7.4027389999999995</v>
      </c>
      <c r="L18" s="88">
        <v>14.102739</v>
      </c>
      <c r="M18" s="88">
        <v>20.055361000000001</v>
      </c>
      <c r="N18" s="88"/>
      <c r="O18" s="91">
        <f t="shared" si="2"/>
        <v>1.6353099999999898</v>
      </c>
      <c r="P18" s="87">
        <v>34.100213000000004</v>
      </c>
      <c r="Q18" s="87">
        <f t="shared" si="3"/>
        <v>20.021022000000002</v>
      </c>
      <c r="R18" s="134">
        <f t="shared" si="0"/>
        <v>55.790883999999991</v>
      </c>
      <c r="S18" s="134">
        <f t="shared" si="4"/>
        <v>55.756544999999988</v>
      </c>
      <c r="T18" s="134">
        <f t="shared" si="5"/>
        <v>23.596593000000002</v>
      </c>
      <c r="U18" s="135">
        <f t="shared" si="8"/>
        <v>64.546329999999998</v>
      </c>
      <c r="V18" s="135">
        <f t="shared" si="9"/>
        <v>31.832381500000004</v>
      </c>
      <c r="W18" s="135">
        <f t="shared" si="7"/>
        <v>22.324425500000004</v>
      </c>
      <c r="X18" s="136">
        <f t="shared" si="6"/>
        <v>51.580679499999995</v>
      </c>
    </row>
    <row r="19" spans="1:24" x14ac:dyDescent="0.25">
      <c r="A19" s="11">
        <v>1977</v>
      </c>
      <c r="B19" s="87">
        <v>0.95458799999999999</v>
      </c>
      <c r="C19" s="88">
        <v>15.154549000000001</v>
      </c>
      <c r="D19" s="88">
        <v>24.326549</v>
      </c>
      <c r="E19" s="88">
        <v>42.198920000000001</v>
      </c>
      <c r="F19" s="88">
        <v>30.930186000000003</v>
      </c>
      <c r="G19" s="91">
        <v>76.545040999999998</v>
      </c>
      <c r="H19" s="87">
        <v>5.0999999999999996</v>
      </c>
      <c r="I19" s="88">
        <v>3.5</v>
      </c>
      <c r="J19" s="88"/>
      <c r="K19" s="88">
        <f t="shared" si="1"/>
        <v>7.191142000000001</v>
      </c>
      <c r="L19" s="88">
        <v>15.791142000000001</v>
      </c>
      <c r="M19" s="88">
        <v>12.46191</v>
      </c>
      <c r="N19" s="88"/>
      <c r="O19" s="91">
        <f t="shared" si="2"/>
        <v>8.8415240000000068</v>
      </c>
      <c r="P19" s="87">
        <v>39.450464999999994</v>
      </c>
      <c r="Q19" s="87">
        <f t="shared" si="3"/>
        <v>15.007322</v>
      </c>
      <c r="R19" s="134">
        <f t="shared" si="0"/>
        <v>60.753899000000004</v>
      </c>
      <c r="S19" s="134">
        <f t="shared" si="4"/>
        <v>63.299311000000003</v>
      </c>
      <c r="T19" s="134">
        <f t="shared" si="5"/>
        <v>28.953189999999999</v>
      </c>
      <c r="U19" s="135">
        <f t="shared" si="8"/>
        <v>73.219332000000009</v>
      </c>
      <c r="V19" s="135">
        <f t="shared" si="9"/>
        <v>36.775339000000002</v>
      </c>
      <c r="W19" s="135">
        <f t="shared" si="7"/>
        <v>26.274891500000003</v>
      </c>
      <c r="X19" s="136">
        <f t="shared" si="6"/>
        <v>58.272391499999998</v>
      </c>
    </row>
    <row r="20" spans="1:24" x14ac:dyDescent="0.25">
      <c r="A20" s="11">
        <v>1978</v>
      </c>
      <c r="B20" s="87">
        <v>0.84799999999999998</v>
      </c>
      <c r="C20" s="88">
        <v>17.425000000000001</v>
      </c>
      <c r="D20" s="88">
        <v>27.734000000000002</v>
      </c>
      <c r="E20" s="88">
        <v>47.665999999999997</v>
      </c>
      <c r="F20" s="88">
        <v>36.509</v>
      </c>
      <c r="G20" s="91">
        <v>91.914000000000001</v>
      </c>
      <c r="H20" s="87">
        <v>7.2</v>
      </c>
      <c r="I20" s="88">
        <f>1.9+0.7</f>
        <v>2.5999999999999996</v>
      </c>
      <c r="J20" s="88"/>
      <c r="K20" s="88">
        <f t="shared" si="1"/>
        <v>11.058000000000002</v>
      </c>
      <c r="L20" s="88">
        <v>20.858000000000001</v>
      </c>
      <c r="M20" s="88">
        <v>14.329000000000001</v>
      </c>
      <c r="N20" s="88"/>
      <c r="O20" s="91">
        <f t="shared" si="2"/>
        <v>9.7490000000000094</v>
      </c>
      <c r="P20" s="87">
        <v>46.978000000000002</v>
      </c>
      <c r="Q20" s="87">
        <f t="shared" si="3"/>
        <v>16.081000000000003</v>
      </c>
      <c r="R20" s="134">
        <f t="shared" si="0"/>
        <v>71.056000000000012</v>
      </c>
      <c r="S20" s="134">
        <f t="shared" si="4"/>
        <v>72.808000000000007</v>
      </c>
      <c r="T20" s="134">
        <f t="shared" si="5"/>
        <v>28.559999999999995</v>
      </c>
      <c r="U20" s="135">
        <f t="shared" si="8"/>
        <v>84.229520500000007</v>
      </c>
      <c r="V20" s="135">
        <f t="shared" si="9"/>
        <v>43.214232499999994</v>
      </c>
      <c r="W20" s="135">
        <f t="shared" si="7"/>
        <v>28.756594999999997</v>
      </c>
      <c r="X20" s="136">
        <f t="shared" si="6"/>
        <v>65.904949500000015</v>
      </c>
    </row>
    <row r="21" spans="1:24" x14ac:dyDescent="0.25">
      <c r="A21" s="11">
        <v>1979</v>
      </c>
      <c r="B21" s="87">
        <v>2.3929999999999998</v>
      </c>
      <c r="C21" s="88">
        <v>24.053000000000001</v>
      </c>
      <c r="D21" s="88">
        <v>26.715</v>
      </c>
      <c r="E21" s="88">
        <v>56.113999999999997</v>
      </c>
      <c r="F21" s="88">
        <v>46.737000000000002</v>
      </c>
      <c r="G21" s="91">
        <v>112.526</v>
      </c>
      <c r="H21" s="87">
        <v>9.1</v>
      </c>
      <c r="I21" s="88">
        <v>3.3</v>
      </c>
      <c r="J21" s="88"/>
      <c r="K21" s="88">
        <f t="shared" si="1"/>
        <v>11.504000000000001</v>
      </c>
      <c r="L21" s="88">
        <v>23.904</v>
      </c>
      <c r="M21" s="88">
        <v>33.488</v>
      </c>
      <c r="N21" s="88"/>
      <c r="O21" s="91">
        <f t="shared" si="2"/>
        <v>2.8629999999999995</v>
      </c>
      <c r="P21" s="87">
        <v>52.271000000000001</v>
      </c>
      <c r="Q21" s="87">
        <f t="shared" si="3"/>
        <v>34.394999999999996</v>
      </c>
      <c r="R21" s="134">
        <f t="shared" si="0"/>
        <v>88.622</v>
      </c>
      <c r="S21" s="134">
        <f t="shared" si="4"/>
        <v>89.528999999999996</v>
      </c>
      <c r="T21" s="134">
        <f t="shared" si="5"/>
        <v>33.116999999999997</v>
      </c>
      <c r="U21" s="135">
        <f t="shared" si="8"/>
        <v>102.22</v>
      </c>
      <c r="V21" s="135">
        <f t="shared" si="9"/>
        <v>49.624499999999998</v>
      </c>
      <c r="W21" s="135">
        <f t="shared" si="7"/>
        <v>30.838499999999996</v>
      </c>
      <c r="X21" s="136">
        <f t="shared" si="6"/>
        <v>79.838999999999999</v>
      </c>
    </row>
    <row r="22" spans="1:24" x14ac:dyDescent="0.25">
      <c r="A22" s="12">
        <v>1980</v>
      </c>
      <c r="B22" s="98">
        <v>1.6120000000000001</v>
      </c>
      <c r="C22" s="99">
        <v>24.969000000000001</v>
      </c>
      <c r="D22" s="99">
        <v>27.818000000000001</v>
      </c>
      <c r="E22" s="99">
        <v>56.512</v>
      </c>
      <c r="F22" s="99">
        <v>46.872</v>
      </c>
      <c r="G22" s="101">
        <v>111.747</v>
      </c>
      <c r="H22" s="98">
        <v>11.9</v>
      </c>
      <c r="I22" s="99">
        <f>0.6+2.2</f>
        <v>2.8000000000000003</v>
      </c>
      <c r="J22" s="99"/>
      <c r="K22" s="99">
        <f t="shared" si="1"/>
        <v>12.818999999999997</v>
      </c>
      <c r="L22" s="99">
        <v>27.518999999999998</v>
      </c>
      <c r="M22" s="99">
        <v>21.908999999999999</v>
      </c>
      <c r="N22" s="99"/>
      <c r="O22" s="101">
        <f t="shared" si="2"/>
        <v>3.1770000000000067</v>
      </c>
      <c r="P22" s="98">
        <v>59.142000000000003</v>
      </c>
      <c r="Q22" s="98">
        <f t="shared" si="3"/>
        <v>23.097000000000001</v>
      </c>
      <c r="R22" s="137">
        <f t="shared" si="0"/>
        <v>84.228000000000009</v>
      </c>
      <c r="S22" s="137">
        <f t="shared" si="4"/>
        <v>85.416000000000011</v>
      </c>
      <c r="T22" s="137">
        <f t="shared" si="5"/>
        <v>30.181000000000001</v>
      </c>
      <c r="U22" s="138">
        <f t="shared" si="8"/>
        <v>112.1365</v>
      </c>
      <c r="V22" s="138">
        <f t="shared" si="9"/>
        <v>55.706500000000005</v>
      </c>
      <c r="W22" s="138">
        <f t="shared" si="7"/>
        <v>31.649000000000001</v>
      </c>
      <c r="X22" s="139">
        <f t="shared" si="6"/>
        <v>86.425000000000011</v>
      </c>
    </row>
    <row r="23" spans="1:24" x14ac:dyDescent="0.25">
      <c r="A23" s="11">
        <v>1981</v>
      </c>
      <c r="B23" s="87">
        <v>1.4390000000000001</v>
      </c>
      <c r="C23" s="88">
        <v>26.61</v>
      </c>
      <c r="D23" s="88">
        <v>33.723999999999997</v>
      </c>
      <c r="E23" s="88">
        <v>63.898000000000003</v>
      </c>
      <c r="F23" s="88">
        <v>49.241</v>
      </c>
      <c r="G23" s="91">
        <v>122.331</v>
      </c>
      <c r="H23" s="87">
        <v>11.1</v>
      </c>
      <c r="I23" s="88">
        <f>3.4+2.3</f>
        <v>5.6999999999999993</v>
      </c>
      <c r="J23" s="88"/>
      <c r="K23" s="88">
        <f t="shared" si="1"/>
        <v>15.495000000000001</v>
      </c>
      <c r="L23" s="88">
        <v>32.295000000000002</v>
      </c>
      <c r="M23" s="88">
        <v>29.283999999999999</v>
      </c>
      <c r="N23" s="88"/>
      <c r="O23" s="91">
        <f t="shared" si="2"/>
        <v>3.6509999999999962</v>
      </c>
      <c r="P23" s="87">
        <v>57.100999999999999</v>
      </c>
      <c r="Q23" s="87">
        <f t="shared" si="3"/>
        <v>33.544999999999995</v>
      </c>
      <c r="R23" s="134">
        <f t="shared" si="0"/>
        <v>90.036000000000001</v>
      </c>
      <c r="S23" s="134">
        <f t="shared" si="4"/>
        <v>94.297000000000011</v>
      </c>
      <c r="T23" s="134">
        <f t="shared" si="5"/>
        <v>35.864000000000004</v>
      </c>
      <c r="U23" s="135">
        <f t="shared" si="8"/>
        <v>117.039</v>
      </c>
      <c r="V23" s="135">
        <f t="shared" si="9"/>
        <v>58.121499999999997</v>
      </c>
      <c r="W23" s="135">
        <f t="shared" si="7"/>
        <v>33.022500000000001</v>
      </c>
      <c r="X23" s="136">
        <f t="shared" si="6"/>
        <v>87.132000000000005</v>
      </c>
    </row>
    <row r="24" spans="1:24" x14ac:dyDescent="0.25">
      <c r="A24" s="11">
        <v>1982</v>
      </c>
      <c r="B24" s="87">
        <v>2.1680000000000001</v>
      </c>
      <c r="C24" s="88">
        <v>27.189</v>
      </c>
      <c r="D24" s="88">
        <v>35.329000000000001</v>
      </c>
      <c r="E24" s="88">
        <v>66.296000000000006</v>
      </c>
      <c r="F24" s="88">
        <v>52.216000000000001</v>
      </c>
      <c r="G24" s="91">
        <v>134.37299999999999</v>
      </c>
      <c r="H24" s="87">
        <v>11.8</v>
      </c>
      <c r="I24" s="88">
        <f>1.7+2.8</f>
        <v>4.5</v>
      </c>
      <c r="J24" s="88"/>
      <c r="K24" s="88">
        <f t="shared" si="1"/>
        <v>15.190999999999999</v>
      </c>
      <c r="L24" s="88">
        <v>31.491</v>
      </c>
      <c r="M24" s="88">
        <v>33.679000000000002</v>
      </c>
      <c r="N24" s="88"/>
      <c r="O24" s="91">
        <f t="shared" si="2"/>
        <v>4.6200000000000045</v>
      </c>
      <c r="P24" s="87">
        <v>64.582999999999998</v>
      </c>
      <c r="Q24" s="87">
        <f t="shared" si="3"/>
        <v>36.011000000000003</v>
      </c>
      <c r="R24" s="134">
        <f t="shared" si="0"/>
        <v>102.88200000000001</v>
      </c>
      <c r="S24" s="134">
        <f t="shared" si="4"/>
        <v>105.214</v>
      </c>
      <c r="T24" s="134">
        <f t="shared" si="5"/>
        <v>37.137</v>
      </c>
      <c r="U24" s="135">
        <f t="shared" si="8"/>
        <v>128.352</v>
      </c>
      <c r="V24" s="135">
        <f t="shared" si="9"/>
        <v>60.841999999999999</v>
      </c>
      <c r="W24" s="135">
        <f t="shared" si="7"/>
        <v>36.500500000000002</v>
      </c>
      <c r="X24" s="136">
        <f t="shared" si="6"/>
        <v>96.459000000000003</v>
      </c>
    </row>
    <row r="25" spans="1:24" x14ac:dyDescent="0.25">
      <c r="A25" s="11">
        <v>1983</v>
      </c>
      <c r="B25" s="87">
        <v>18.550999999999998</v>
      </c>
      <c r="C25" s="88">
        <v>38.317</v>
      </c>
      <c r="D25" s="88">
        <v>54.6</v>
      </c>
      <c r="E25" s="88">
        <v>113.43899999999999</v>
      </c>
      <c r="F25" s="88">
        <v>67.766999999999996</v>
      </c>
      <c r="G25" s="91">
        <v>201.505</v>
      </c>
      <c r="H25" s="87">
        <v>17.100000000000001</v>
      </c>
      <c r="I25" s="88">
        <f>2.4+3.4</f>
        <v>5.8</v>
      </c>
      <c r="J25" s="88"/>
      <c r="K25" s="88">
        <f t="shared" si="1"/>
        <v>23.373000000000001</v>
      </c>
      <c r="L25" s="88">
        <v>46.273000000000003</v>
      </c>
      <c r="M25" s="88">
        <v>54.17</v>
      </c>
      <c r="N25" s="88"/>
      <c r="O25" s="91">
        <f t="shared" si="2"/>
        <v>5.0240000000000009</v>
      </c>
      <c r="P25" s="87">
        <v>96.037999999999997</v>
      </c>
      <c r="Q25" s="87">
        <f t="shared" si="3"/>
        <v>41.418999999999997</v>
      </c>
      <c r="R25" s="134">
        <f t="shared" si="0"/>
        <v>155.232</v>
      </c>
      <c r="S25" s="134">
        <f t="shared" si="4"/>
        <v>142.48100000000002</v>
      </c>
      <c r="T25" s="134">
        <f t="shared" si="5"/>
        <v>54.414999999999985</v>
      </c>
      <c r="U25" s="135">
        <f t="shared" si="8"/>
        <v>167.93899999999999</v>
      </c>
      <c r="V25" s="135">
        <f t="shared" si="9"/>
        <v>80.31049999999999</v>
      </c>
      <c r="W25" s="135">
        <f t="shared" si="7"/>
        <v>45.775999999999996</v>
      </c>
      <c r="X25" s="136">
        <f t="shared" si="6"/>
        <v>129.05700000000002</v>
      </c>
    </row>
    <row r="26" spans="1:24" x14ac:dyDescent="0.25">
      <c r="A26" s="11">
        <v>1984</v>
      </c>
      <c r="B26" s="87">
        <v>21.826000000000001</v>
      </c>
      <c r="C26" s="88">
        <v>45.494999999999997</v>
      </c>
      <c r="D26" s="88">
        <v>62.174999999999997</v>
      </c>
      <c r="E26" s="88">
        <v>131.93799999999999</v>
      </c>
      <c r="F26" s="88">
        <v>76.828999999999994</v>
      </c>
      <c r="G26" s="91">
        <v>232.91900000000001</v>
      </c>
      <c r="H26" s="87">
        <v>16.899999999999999</v>
      </c>
      <c r="I26" s="88">
        <f>7.7+3.7</f>
        <v>11.4</v>
      </c>
      <c r="J26" s="88"/>
      <c r="K26" s="88">
        <f t="shared" si="1"/>
        <v>23.603000000000002</v>
      </c>
      <c r="L26" s="88">
        <v>51.902999999999999</v>
      </c>
      <c r="M26" s="88">
        <v>67.117999999999995</v>
      </c>
      <c r="N26" s="88"/>
      <c r="O26" s="91">
        <f t="shared" si="2"/>
        <v>6.0150000000000148</v>
      </c>
      <c r="P26" s="87">
        <v>107.883</v>
      </c>
      <c r="Q26" s="87">
        <f t="shared" si="3"/>
        <v>56.692</v>
      </c>
      <c r="R26" s="134">
        <f t="shared" si="0"/>
        <v>181.01600000000002</v>
      </c>
      <c r="S26" s="134">
        <f t="shared" si="4"/>
        <v>170.59000000000003</v>
      </c>
      <c r="T26" s="134">
        <f t="shared" si="5"/>
        <v>69.608999999999995</v>
      </c>
      <c r="U26" s="135">
        <f t="shared" si="8"/>
        <v>217.21199999999999</v>
      </c>
      <c r="V26" s="135">
        <f t="shared" si="9"/>
        <v>101.9605</v>
      </c>
      <c r="W26" s="135">
        <f t="shared" si="7"/>
        <v>62.011999999999986</v>
      </c>
      <c r="X26" s="136">
        <f t="shared" si="6"/>
        <v>168.12400000000002</v>
      </c>
    </row>
    <row r="27" spans="1:24" x14ac:dyDescent="0.25">
      <c r="A27" s="12">
        <v>1985</v>
      </c>
      <c r="B27" s="98">
        <v>9.0370000000000008</v>
      </c>
      <c r="C27" s="99">
        <v>52.756999999999998</v>
      </c>
      <c r="D27" s="99">
        <v>73.070999999999998</v>
      </c>
      <c r="E27" s="99">
        <v>138.33699999999999</v>
      </c>
      <c r="F27" s="99">
        <v>100.965</v>
      </c>
      <c r="G27" s="101">
        <v>270.51900000000001</v>
      </c>
      <c r="H27" s="98">
        <v>21.9</v>
      </c>
      <c r="I27" s="99">
        <f>2.2+5.2</f>
        <v>7.4</v>
      </c>
      <c r="J27" s="99"/>
      <c r="K27" s="99">
        <f t="shared" si="1"/>
        <v>26.908000000000001</v>
      </c>
      <c r="L27" s="99">
        <v>56.207999999999998</v>
      </c>
      <c r="M27" s="99">
        <v>51.390999999999998</v>
      </c>
      <c r="N27" s="99"/>
      <c r="O27" s="101">
        <f t="shared" si="2"/>
        <v>9.8770000000000095</v>
      </c>
      <c r="P27" s="98">
        <v>153.04300000000001</v>
      </c>
      <c r="Q27" s="98">
        <f t="shared" si="3"/>
        <v>49.753999999999998</v>
      </c>
      <c r="R27" s="137">
        <f t="shared" si="0"/>
        <v>214.31100000000001</v>
      </c>
      <c r="S27" s="137">
        <f t="shared" si="4"/>
        <v>212.67400000000001</v>
      </c>
      <c r="T27" s="137">
        <f t="shared" si="5"/>
        <v>80.49199999999999</v>
      </c>
      <c r="U27" s="138">
        <f t="shared" si="8"/>
        <v>251.71899999999999</v>
      </c>
      <c r="V27" s="138">
        <f t="shared" si="9"/>
        <v>130.46299999999999</v>
      </c>
      <c r="W27" s="138">
        <f t="shared" si="7"/>
        <v>75.0505</v>
      </c>
      <c r="X27" s="139">
        <f t="shared" si="6"/>
        <v>197.6635</v>
      </c>
    </row>
    <row r="28" spans="1:24" x14ac:dyDescent="0.25">
      <c r="A28" s="11">
        <v>1986</v>
      </c>
      <c r="B28" s="87">
        <v>35.893999999999998</v>
      </c>
      <c r="C28" s="88">
        <v>68.239999999999995</v>
      </c>
      <c r="D28" s="88">
        <v>82.192999999999998</v>
      </c>
      <c r="E28" s="88">
        <v>189.584</v>
      </c>
      <c r="F28" s="88">
        <v>113.423</v>
      </c>
      <c r="G28" s="91">
        <v>349.41199999999998</v>
      </c>
      <c r="H28" s="87">
        <v>23.5</v>
      </c>
      <c r="I28" s="88">
        <v>5.0999999999999996</v>
      </c>
      <c r="J28" s="88"/>
      <c r="K28" s="88">
        <f t="shared" si="1"/>
        <v>38.211000000000006</v>
      </c>
      <c r="L28" s="88">
        <v>66.811000000000007</v>
      </c>
      <c r="M28" s="88">
        <v>88.346000000000004</v>
      </c>
      <c r="N28" s="88"/>
      <c r="O28" s="91">
        <f t="shared" si="2"/>
        <v>11.148999999999944</v>
      </c>
      <c r="P28" s="87">
        <v>183.10599999999999</v>
      </c>
      <c r="Q28" s="87">
        <f t="shared" si="3"/>
        <v>57.552</v>
      </c>
      <c r="R28" s="134">
        <f t="shared" si="0"/>
        <v>282.60099999999994</v>
      </c>
      <c r="S28" s="134">
        <f t="shared" si="4"/>
        <v>251.80699999999993</v>
      </c>
      <c r="T28" s="134">
        <f t="shared" si="5"/>
        <v>91.978999999999985</v>
      </c>
      <c r="U28" s="135">
        <f t="shared" si="8"/>
        <v>309.96550000000002</v>
      </c>
      <c r="V28" s="135">
        <f t="shared" si="9"/>
        <v>168.0745</v>
      </c>
      <c r="W28" s="135">
        <f t="shared" si="7"/>
        <v>86.235499999999988</v>
      </c>
      <c r="X28" s="136">
        <f t="shared" si="6"/>
        <v>248.45599999999996</v>
      </c>
    </row>
    <row r="29" spans="1:24" x14ac:dyDescent="0.25">
      <c r="A29" s="11">
        <v>1987</v>
      </c>
      <c r="B29" s="87">
        <v>29.638000000000002</v>
      </c>
      <c r="C29" s="88">
        <v>79.588999999999999</v>
      </c>
      <c r="D29" s="88">
        <v>92.828000000000003</v>
      </c>
      <c r="E29" s="88">
        <v>208.209</v>
      </c>
      <c r="F29" s="88">
        <v>127.914</v>
      </c>
      <c r="G29" s="91">
        <v>384.29599999999999</v>
      </c>
      <c r="H29" s="87">
        <v>34.9</v>
      </c>
      <c r="I29" s="88">
        <v>4.8</v>
      </c>
      <c r="J29" s="88"/>
      <c r="K29" s="88">
        <f t="shared" si="1"/>
        <v>38.295999999999999</v>
      </c>
      <c r="L29" s="88">
        <v>77.995999999999995</v>
      </c>
      <c r="M29" s="88">
        <v>83.578999999999994</v>
      </c>
      <c r="N29" s="88"/>
      <c r="O29" s="91">
        <f t="shared" si="2"/>
        <v>13.238999999999976</v>
      </c>
      <c r="P29" s="87">
        <v>209.482</v>
      </c>
      <c r="Q29" s="87">
        <f t="shared" si="3"/>
        <v>58.740999999999985</v>
      </c>
      <c r="R29" s="134">
        <f t="shared" si="0"/>
        <v>306.29999999999995</v>
      </c>
      <c r="S29" s="134">
        <f t="shared" si="4"/>
        <v>281.46199999999999</v>
      </c>
      <c r="T29" s="134">
        <f t="shared" si="5"/>
        <v>105.375</v>
      </c>
      <c r="U29" s="135">
        <f t="shared" si="8"/>
        <v>366.85399999999998</v>
      </c>
      <c r="V29" s="135">
        <f t="shared" si="9"/>
        <v>196.29399999999998</v>
      </c>
      <c r="W29" s="135">
        <f t="shared" si="7"/>
        <v>98.676999999999992</v>
      </c>
      <c r="X29" s="136">
        <f t="shared" si="6"/>
        <v>294.45049999999992</v>
      </c>
    </row>
    <row r="30" spans="1:24" x14ac:dyDescent="0.25">
      <c r="A30" s="11">
        <v>1988</v>
      </c>
      <c r="B30" s="87">
        <v>7.024</v>
      </c>
      <c r="C30" s="88">
        <v>114.824</v>
      </c>
      <c r="D30" s="88">
        <v>122.428</v>
      </c>
      <c r="E30" s="88">
        <v>250.46899999999999</v>
      </c>
      <c r="F30" s="88">
        <v>176.21899999999999</v>
      </c>
      <c r="G30" s="91">
        <v>477.57799999999997</v>
      </c>
      <c r="H30" s="87">
        <v>52.5</v>
      </c>
      <c r="I30" s="88">
        <v>4.0999999999999996</v>
      </c>
      <c r="J30" s="88"/>
      <c r="K30" s="88">
        <f t="shared" si="1"/>
        <v>46.535000000000004</v>
      </c>
      <c r="L30" s="88">
        <v>103.13500000000001</v>
      </c>
      <c r="M30" s="88">
        <v>106.83499999999999</v>
      </c>
      <c r="N30" s="88"/>
      <c r="O30" s="91">
        <f t="shared" si="2"/>
        <v>22.159999999999968</v>
      </c>
      <c r="P30" s="87">
        <v>245.44800000000001</v>
      </c>
      <c r="Q30" s="87">
        <f t="shared" si="3"/>
        <v>103.91099999999999</v>
      </c>
      <c r="R30" s="134">
        <f t="shared" si="0"/>
        <v>374.44299999999998</v>
      </c>
      <c r="S30" s="134">
        <f t="shared" si="4"/>
        <v>371.51900000000001</v>
      </c>
      <c r="T30" s="134">
        <f t="shared" si="5"/>
        <v>144.41</v>
      </c>
      <c r="U30" s="135">
        <f t="shared" si="8"/>
        <v>430.93700000000001</v>
      </c>
      <c r="V30" s="135">
        <f t="shared" si="9"/>
        <v>227.465</v>
      </c>
      <c r="W30" s="135">
        <f t="shared" si="7"/>
        <v>124.8925</v>
      </c>
      <c r="X30" s="136">
        <f t="shared" si="6"/>
        <v>340.37149999999997</v>
      </c>
    </row>
    <row r="31" spans="1:24" x14ac:dyDescent="0.25">
      <c r="A31" s="11">
        <v>1989</v>
      </c>
      <c r="B31" s="87">
        <v>2.927</v>
      </c>
      <c r="C31" s="88">
        <v>136.48400000000001</v>
      </c>
      <c r="D31" s="88">
        <v>144.16399999999999</v>
      </c>
      <c r="E31" s="88">
        <v>292.80900000000003</v>
      </c>
      <c r="F31" s="88">
        <v>209.25700000000001</v>
      </c>
      <c r="G31" s="91">
        <v>568.34500000000003</v>
      </c>
      <c r="H31" s="87">
        <v>53.8</v>
      </c>
      <c r="I31" s="88">
        <v>3.5</v>
      </c>
      <c r="J31" s="88"/>
      <c r="K31" s="88">
        <f t="shared" si="1"/>
        <v>55.44</v>
      </c>
      <c r="L31" s="88">
        <v>112.74</v>
      </c>
      <c r="M31" s="88">
        <v>147.45400000000001</v>
      </c>
      <c r="N31" s="88"/>
      <c r="O31" s="91">
        <f t="shared" si="2"/>
        <v>26.54200000000003</v>
      </c>
      <c r="P31" s="87">
        <v>281.60899999999998</v>
      </c>
      <c r="Q31" s="87">
        <f t="shared" si="3"/>
        <v>148.02700000000002</v>
      </c>
      <c r="R31" s="134">
        <f t="shared" si="0"/>
        <v>455.60500000000002</v>
      </c>
      <c r="S31" s="134">
        <f t="shared" si="4"/>
        <v>456.178</v>
      </c>
      <c r="T31" s="134">
        <f t="shared" si="5"/>
        <v>180.642</v>
      </c>
      <c r="U31" s="135">
        <f t="shared" si="8"/>
        <v>522.9615</v>
      </c>
      <c r="V31" s="135">
        <f t="shared" si="9"/>
        <v>263.52850000000001</v>
      </c>
      <c r="W31" s="135">
        <f t="shared" si="7"/>
        <v>162.52600000000001</v>
      </c>
      <c r="X31" s="136">
        <f t="shared" si="6"/>
        <v>415.024</v>
      </c>
    </row>
    <row r="32" spans="1:24" x14ac:dyDescent="0.25">
      <c r="A32" s="12">
        <v>1990</v>
      </c>
      <c r="B32" s="98">
        <v>3.3029999999999999</v>
      </c>
      <c r="C32" s="99">
        <v>146.23500000000001</v>
      </c>
      <c r="D32" s="99">
        <v>171.95</v>
      </c>
      <c r="E32" s="99">
        <v>342.43799999999999</v>
      </c>
      <c r="F32" s="99">
        <v>224.846</v>
      </c>
      <c r="G32" s="101">
        <v>676.14</v>
      </c>
      <c r="H32" s="98">
        <v>56.2</v>
      </c>
      <c r="I32" s="99">
        <v>3.1</v>
      </c>
      <c r="J32" s="99"/>
      <c r="K32" s="99">
        <f t="shared" si="1"/>
        <v>68.653999999999996</v>
      </c>
      <c r="L32" s="99">
        <v>127.95399999999999</v>
      </c>
      <c r="M32" s="99">
        <v>212.81200000000001</v>
      </c>
      <c r="N32" s="99"/>
      <c r="O32" s="101">
        <f t="shared" si="2"/>
        <v>32.769999999999982</v>
      </c>
      <c r="P32" s="98">
        <v>302.60399999999998</v>
      </c>
      <c r="Q32" s="98">
        <f t="shared" si="3"/>
        <v>212.60900000000001</v>
      </c>
      <c r="R32" s="137">
        <f t="shared" si="0"/>
        <v>548.18599999999992</v>
      </c>
      <c r="S32" s="137">
        <f t="shared" si="4"/>
        <v>547.98299999999995</v>
      </c>
      <c r="T32" s="137">
        <f t="shared" si="5"/>
        <v>214.28099999999998</v>
      </c>
      <c r="U32" s="138">
        <f t="shared" si="8"/>
        <v>622.24250000000006</v>
      </c>
      <c r="V32" s="138">
        <f t="shared" si="9"/>
        <v>292.10649999999998</v>
      </c>
      <c r="W32" s="138">
        <f t="shared" si="7"/>
        <v>197.4615</v>
      </c>
      <c r="X32" s="139">
        <f t="shared" si="6"/>
        <v>501.89549999999997</v>
      </c>
    </row>
    <row r="33" spans="1:24" x14ac:dyDescent="0.25">
      <c r="A33" s="11">
        <v>1991</v>
      </c>
      <c r="B33" s="87">
        <v>5.2830000000000004</v>
      </c>
      <c r="C33" s="88">
        <v>140.80000000000001</v>
      </c>
      <c r="D33" s="88">
        <v>157.28200000000001</v>
      </c>
      <c r="E33" s="88">
        <v>321.70400000000001</v>
      </c>
      <c r="F33" s="88">
        <v>234.173</v>
      </c>
      <c r="G33" s="91">
        <v>656.10400000000004</v>
      </c>
      <c r="H33" s="87">
        <v>39</v>
      </c>
      <c r="I33" s="88">
        <v>3.2</v>
      </c>
      <c r="J33" s="88"/>
      <c r="K33" s="88">
        <f t="shared" si="1"/>
        <v>68.36999999999999</v>
      </c>
      <c r="L33" s="88">
        <v>110.57</v>
      </c>
      <c r="M33" s="88">
        <v>179.36099999999999</v>
      </c>
      <c r="N33" s="88"/>
      <c r="O33" s="91">
        <f t="shared" si="2"/>
        <v>33.58400000000006</v>
      </c>
      <c r="P33" s="87">
        <v>332.589</v>
      </c>
      <c r="Q33" s="87">
        <f t="shared" si="3"/>
        <v>177.27799999999999</v>
      </c>
      <c r="R33" s="134">
        <f t="shared" si="0"/>
        <v>545.53400000000011</v>
      </c>
      <c r="S33" s="134">
        <f t="shared" si="4"/>
        <v>543.45100000000014</v>
      </c>
      <c r="T33" s="134">
        <f t="shared" si="5"/>
        <v>209.05099999999999</v>
      </c>
      <c r="U33" s="135">
        <f t="shared" si="8"/>
        <v>666.12200000000007</v>
      </c>
      <c r="V33" s="135">
        <f t="shared" si="9"/>
        <v>317.59649999999999</v>
      </c>
      <c r="W33" s="135">
        <f t="shared" si="7"/>
        <v>211.666</v>
      </c>
      <c r="X33" s="136">
        <f t="shared" si="6"/>
        <v>546.86</v>
      </c>
    </row>
    <row r="34" spans="1:24" x14ac:dyDescent="0.25">
      <c r="A34" s="11">
        <v>1992</v>
      </c>
      <c r="B34" s="87">
        <v>4.0220000000000002</v>
      </c>
      <c r="C34" s="88">
        <f>146.459+10.351</f>
        <v>156.81</v>
      </c>
      <c r="D34" s="88">
        <v>161.09299999999999</v>
      </c>
      <c r="E34" s="88">
        <v>340.16500000000002</v>
      </c>
      <c r="F34" s="88">
        <v>230.69300000000001</v>
      </c>
      <c r="G34" s="91">
        <v>678.03099999999995</v>
      </c>
      <c r="H34" s="87">
        <v>42.7</v>
      </c>
      <c r="I34" s="88">
        <v>1</v>
      </c>
      <c r="J34" s="88"/>
      <c r="K34" s="88">
        <f t="shared" si="1"/>
        <v>74.894999999999996</v>
      </c>
      <c r="L34" s="88">
        <v>118.595</v>
      </c>
      <c r="M34" s="88">
        <v>101.49299999999999</v>
      </c>
      <c r="N34" s="88"/>
      <c r="O34" s="91">
        <f t="shared" si="2"/>
        <v>32.774000000000001</v>
      </c>
      <c r="P34" s="87">
        <v>425.16899999999998</v>
      </c>
      <c r="Q34" s="87">
        <f t="shared" si="3"/>
        <v>98.470999999999989</v>
      </c>
      <c r="R34" s="134">
        <f t="shared" si="0"/>
        <v>559.43599999999992</v>
      </c>
      <c r="S34" s="134">
        <f t="shared" si="4"/>
        <v>556.41399999999987</v>
      </c>
      <c r="T34" s="134">
        <f t="shared" si="5"/>
        <v>218.54800000000003</v>
      </c>
      <c r="U34" s="135">
        <f t="shared" si="8"/>
        <v>667.0675</v>
      </c>
      <c r="V34" s="135">
        <f t="shared" si="9"/>
        <v>378.87900000000002</v>
      </c>
      <c r="W34" s="135">
        <f t="shared" si="7"/>
        <v>213.79950000000002</v>
      </c>
      <c r="X34" s="136">
        <f t="shared" si="6"/>
        <v>552.48500000000001</v>
      </c>
    </row>
    <row r="35" spans="1:24" x14ac:dyDescent="0.25">
      <c r="A35" s="11">
        <v>1993</v>
      </c>
      <c r="B35" s="87">
        <v>0.4</v>
      </c>
      <c r="C35" s="88">
        <f>194.6+10.1</f>
        <v>204.7</v>
      </c>
      <c r="D35" s="88">
        <v>209.1</v>
      </c>
      <c r="E35" s="88">
        <v>435.6</v>
      </c>
      <c r="F35" s="88">
        <v>313.10000000000002</v>
      </c>
      <c r="G35" s="91">
        <v>901.9</v>
      </c>
      <c r="H35" s="87">
        <v>74.099999999999994</v>
      </c>
      <c r="I35" s="88">
        <v>1.4</v>
      </c>
      <c r="J35" s="88"/>
      <c r="K35" s="88">
        <f t="shared" si="1"/>
        <v>90.699999999999989</v>
      </c>
      <c r="L35" s="88">
        <v>166.2</v>
      </c>
      <c r="M35" s="88">
        <v>165.8</v>
      </c>
      <c r="N35" s="88"/>
      <c r="O35" s="91">
        <f t="shared" si="2"/>
        <v>54.299999999999955</v>
      </c>
      <c r="P35" s="87">
        <v>515.6</v>
      </c>
      <c r="Q35" s="87">
        <f t="shared" si="3"/>
        <v>166.8</v>
      </c>
      <c r="R35" s="134">
        <f t="shared" si="0"/>
        <v>735.7</v>
      </c>
      <c r="S35" s="134">
        <f t="shared" si="4"/>
        <v>736.7</v>
      </c>
      <c r="T35" s="134">
        <f t="shared" si="5"/>
        <v>270.40000000000003</v>
      </c>
      <c r="U35" s="135">
        <f t="shared" si="8"/>
        <v>789.96550000000002</v>
      </c>
      <c r="V35" s="135">
        <f t="shared" si="9"/>
        <v>470.3845</v>
      </c>
      <c r="W35" s="135">
        <f t="shared" si="7"/>
        <v>244.47400000000005</v>
      </c>
      <c r="X35" s="136">
        <f t="shared" si="6"/>
        <v>647.56799999999998</v>
      </c>
    </row>
    <row r="36" spans="1:24" x14ac:dyDescent="0.25">
      <c r="A36" s="11">
        <v>1994</v>
      </c>
      <c r="B36" s="87">
        <v>2.7</v>
      </c>
      <c r="C36" s="88">
        <f>245.3+9</f>
        <v>254.3</v>
      </c>
      <c r="D36" s="88">
        <v>255.5</v>
      </c>
      <c r="E36" s="88">
        <v>544.70000000000005</v>
      </c>
      <c r="F36" s="88">
        <v>396</v>
      </c>
      <c r="G36" s="91">
        <v>1119.9000000000001</v>
      </c>
      <c r="H36" s="87">
        <v>89.9</v>
      </c>
      <c r="I36" s="88">
        <v>3.9</v>
      </c>
      <c r="J36" s="88"/>
      <c r="K36" s="88">
        <f t="shared" si="1"/>
        <v>139.1</v>
      </c>
      <c r="L36" s="88">
        <v>232.9</v>
      </c>
      <c r="M36" s="88">
        <v>204.9</v>
      </c>
      <c r="N36" s="88"/>
      <c r="O36" s="91">
        <f t="shared" si="2"/>
        <v>56.900000000000091</v>
      </c>
      <c r="P36" s="87">
        <v>625.20000000000005</v>
      </c>
      <c r="Q36" s="87">
        <f t="shared" si="3"/>
        <v>206.10000000000002</v>
      </c>
      <c r="R36" s="134">
        <f t="shared" si="0"/>
        <v>887.00000000000011</v>
      </c>
      <c r="S36" s="134">
        <f t="shared" si="4"/>
        <v>888.2</v>
      </c>
      <c r="T36" s="134">
        <f t="shared" si="5"/>
        <v>313</v>
      </c>
      <c r="U36" s="135">
        <f t="shared" si="8"/>
        <v>1010.9000000000001</v>
      </c>
      <c r="V36" s="135">
        <f t="shared" si="9"/>
        <v>570.40000000000009</v>
      </c>
      <c r="W36" s="135">
        <f t="shared" si="7"/>
        <v>291.70000000000005</v>
      </c>
      <c r="X36" s="136">
        <f t="shared" si="6"/>
        <v>811.35000000000014</v>
      </c>
    </row>
    <row r="37" spans="1:24" x14ac:dyDescent="0.25">
      <c r="A37" s="12">
        <v>1995</v>
      </c>
      <c r="B37" s="98">
        <v>6.7</v>
      </c>
      <c r="C37" s="99">
        <f>248+6.2</f>
        <v>254.2</v>
      </c>
      <c r="D37" s="99">
        <v>276.8</v>
      </c>
      <c r="E37" s="99">
        <v>571.9</v>
      </c>
      <c r="F37" s="99">
        <v>451.8</v>
      </c>
      <c r="G37" s="101">
        <v>1218.3</v>
      </c>
      <c r="H37" s="98">
        <v>90.4</v>
      </c>
      <c r="I37" s="99">
        <v>4</v>
      </c>
      <c r="J37" s="99"/>
      <c r="K37" s="99">
        <f t="shared" si="1"/>
        <v>132.4</v>
      </c>
      <c r="L37" s="99">
        <v>226.8</v>
      </c>
      <c r="M37" s="99">
        <v>191.9</v>
      </c>
      <c r="N37" s="99"/>
      <c r="O37" s="101">
        <f t="shared" si="2"/>
        <v>65.499999999999773</v>
      </c>
      <c r="P37" s="98">
        <v>734.1</v>
      </c>
      <c r="Q37" s="98">
        <f t="shared" si="3"/>
        <v>189.20000000000002</v>
      </c>
      <c r="R37" s="137">
        <f t="shared" si="0"/>
        <v>991.49999999999977</v>
      </c>
      <c r="S37" s="137">
        <f t="shared" si="4"/>
        <v>988.79999999999973</v>
      </c>
      <c r="T37" s="137">
        <f t="shared" si="5"/>
        <v>342.39999999999992</v>
      </c>
      <c r="U37" s="138">
        <f t="shared" si="8"/>
        <v>1169.0999999999999</v>
      </c>
      <c r="V37" s="138">
        <f t="shared" si="9"/>
        <v>679.65000000000009</v>
      </c>
      <c r="W37" s="138">
        <f t="shared" si="7"/>
        <v>327.69999999999993</v>
      </c>
      <c r="X37" s="139">
        <f t="shared" si="6"/>
        <v>939.25</v>
      </c>
    </row>
    <row r="38" spans="1:24" x14ac:dyDescent="0.25">
      <c r="A38" s="11">
        <v>1996</v>
      </c>
      <c r="B38" s="87">
        <v>3.7</v>
      </c>
      <c r="C38" s="88">
        <f>326.8+8.5</f>
        <v>335.3</v>
      </c>
      <c r="D38" s="88">
        <v>379.6</v>
      </c>
      <c r="E38" s="88">
        <v>763.3</v>
      </c>
      <c r="F38" s="88">
        <v>582.9</v>
      </c>
      <c r="G38" s="91">
        <v>1712.9</v>
      </c>
      <c r="H38" s="87">
        <v>110.3</v>
      </c>
      <c r="I38" s="88">
        <v>3.9</v>
      </c>
      <c r="J38" s="88"/>
      <c r="K38" s="88">
        <f t="shared" si="1"/>
        <v>178.6</v>
      </c>
      <c r="L38" s="88">
        <v>292.8</v>
      </c>
      <c r="M38" s="88">
        <v>388.5</v>
      </c>
      <c r="N38" s="88"/>
      <c r="O38" s="91">
        <f t="shared" si="2"/>
        <v>90.5</v>
      </c>
      <c r="P38" s="87">
        <v>941.1</v>
      </c>
      <c r="Q38" s="87">
        <f>+M38+I38-B38</f>
        <v>388.7</v>
      </c>
      <c r="R38" s="134">
        <f t="shared" si="0"/>
        <v>1420.1</v>
      </c>
      <c r="S38" s="134">
        <f t="shared" si="4"/>
        <v>1420.3</v>
      </c>
      <c r="T38" s="134">
        <f t="shared" si="5"/>
        <v>470.69999999999987</v>
      </c>
      <c r="U38" s="135">
        <f t="shared" si="8"/>
        <v>1465.6</v>
      </c>
      <c r="V38" s="135">
        <f t="shared" si="9"/>
        <v>837.6</v>
      </c>
      <c r="W38" s="135">
        <f t="shared" si="7"/>
        <v>406.5499999999999</v>
      </c>
      <c r="X38" s="136">
        <f t="shared" si="6"/>
        <v>1205.7999999999997</v>
      </c>
    </row>
    <row r="39" spans="1:24" x14ac:dyDescent="0.25">
      <c r="A39" s="11">
        <v>1997</v>
      </c>
      <c r="B39" s="87">
        <v>7.7</v>
      </c>
      <c r="C39" s="88">
        <v>438.6</v>
      </c>
      <c r="D39" s="88">
        <v>433.2</v>
      </c>
      <c r="E39" s="88">
        <v>944.6</v>
      </c>
      <c r="F39" s="88">
        <v>693.2</v>
      </c>
      <c r="G39" s="91">
        <v>2106.3000000000002</v>
      </c>
      <c r="H39" s="87">
        <v>128.69999999999999</v>
      </c>
      <c r="I39" s="88">
        <v>4.7</v>
      </c>
      <c r="J39" s="88"/>
      <c r="K39" s="88">
        <f t="shared" si="1"/>
        <v>239.10000000000002</v>
      </c>
      <c r="L39" s="88">
        <v>372.5</v>
      </c>
      <c r="M39" s="88">
        <v>466.2</v>
      </c>
      <c r="N39" s="88"/>
      <c r="O39" s="91">
        <f t="shared" si="2"/>
        <v>93.600000000000136</v>
      </c>
      <c r="P39" s="87">
        <v>1174</v>
      </c>
      <c r="Q39" s="87">
        <f t="shared" ref="Q39:Q48" si="10">+M39+I39-B39</f>
        <v>463.2</v>
      </c>
      <c r="R39" s="134">
        <f t="shared" si="0"/>
        <v>1733.8000000000002</v>
      </c>
      <c r="S39" s="134">
        <f t="shared" si="4"/>
        <v>1730.8000000000002</v>
      </c>
      <c r="T39" s="134">
        <f t="shared" si="5"/>
        <v>569.1</v>
      </c>
      <c r="U39" s="135">
        <f t="shared" si="8"/>
        <v>1909.6000000000001</v>
      </c>
      <c r="V39" s="135">
        <f t="shared" si="9"/>
        <v>1057.55</v>
      </c>
      <c r="W39" s="135">
        <f t="shared" si="7"/>
        <v>519.9</v>
      </c>
      <c r="X39" s="136">
        <f t="shared" si="6"/>
        <v>1576.95</v>
      </c>
    </row>
    <row r="40" spans="1:24" x14ac:dyDescent="0.25">
      <c r="A40" s="11">
        <v>1998</v>
      </c>
      <c r="B40" s="87">
        <v>83.5</v>
      </c>
      <c r="C40" s="88">
        <v>503.1</v>
      </c>
      <c r="D40" s="88">
        <v>486.2</v>
      </c>
      <c r="E40" s="88">
        <v>1137.0999999999999</v>
      </c>
      <c r="F40" s="88">
        <v>820.4</v>
      </c>
      <c r="G40" s="91">
        <v>2535.3000000000002</v>
      </c>
      <c r="H40" s="87">
        <v>134.80000000000001</v>
      </c>
      <c r="I40" s="88">
        <v>5.2</v>
      </c>
      <c r="J40" s="88"/>
      <c r="K40" s="88">
        <f t="shared" si="1"/>
        <v>261.39999999999998</v>
      </c>
      <c r="L40" s="88">
        <v>401.4</v>
      </c>
      <c r="M40" s="88">
        <v>574.1</v>
      </c>
      <c r="N40" s="88"/>
      <c r="O40" s="91">
        <f t="shared" si="2"/>
        <v>123</v>
      </c>
      <c r="P40" s="87">
        <v>1436.8</v>
      </c>
      <c r="Q40" s="87">
        <f t="shared" si="10"/>
        <v>495.80000000000007</v>
      </c>
      <c r="R40" s="134">
        <f t="shared" si="0"/>
        <v>2133.9</v>
      </c>
      <c r="S40" s="134">
        <f t="shared" si="4"/>
        <v>2055.6</v>
      </c>
      <c r="T40" s="134">
        <f t="shared" si="5"/>
        <v>657.4</v>
      </c>
      <c r="U40" s="135">
        <f t="shared" si="8"/>
        <v>2320.8000000000002</v>
      </c>
      <c r="V40" s="135">
        <f t="shared" si="9"/>
        <v>1305.4000000000001</v>
      </c>
      <c r="W40" s="135">
        <f t="shared" si="7"/>
        <v>613.25</v>
      </c>
      <c r="X40" s="136">
        <f t="shared" si="6"/>
        <v>1933.8500000000001</v>
      </c>
    </row>
    <row r="41" spans="1:24" x14ac:dyDescent="0.25">
      <c r="A41" s="11">
        <v>1999</v>
      </c>
      <c r="B41" s="87">
        <v>20.6</v>
      </c>
      <c r="C41" s="88">
        <v>559.4</v>
      </c>
      <c r="D41" s="88">
        <v>605.79999999999995</v>
      </c>
      <c r="E41" s="88">
        <v>1256.2</v>
      </c>
      <c r="F41" s="88">
        <v>915</v>
      </c>
      <c r="G41" s="91">
        <v>2977.5</v>
      </c>
      <c r="H41" s="87">
        <v>146.1</v>
      </c>
      <c r="I41" s="88">
        <v>3.8</v>
      </c>
      <c r="J41" s="88"/>
      <c r="K41" s="88">
        <f t="shared" si="1"/>
        <v>281.59999999999997</v>
      </c>
      <c r="L41" s="88">
        <v>431.5</v>
      </c>
      <c r="M41" s="88">
        <v>787.4</v>
      </c>
      <c r="N41" s="88"/>
      <c r="O41" s="91">
        <f t="shared" si="2"/>
        <v>112.39999999999964</v>
      </c>
      <c r="P41" s="87">
        <v>1646.2</v>
      </c>
      <c r="Q41" s="87">
        <f t="shared" si="10"/>
        <v>770.59999999999991</v>
      </c>
      <c r="R41" s="134">
        <f t="shared" si="0"/>
        <v>2545.9999999999995</v>
      </c>
      <c r="S41" s="134">
        <f t="shared" si="4"/>
        <v>2529.1999999999998</v>
      </c>
      <c r="T41" s="134">
        <f t="shared" si="5"/>
        <v>807.90000000000009</v>
      </c>
      <c r="U41" s="135">
        <f t="shared" si="8"/>
        <v>2756.4</v>
      </c>
      <c r="V41" s="135">
        <f t="shared" si="9"/>
        <v>1541.5</v>
      </c>
      <c r="W41" s="135">
        <f t="shared" si="7"/>
        <v>732.65000000000009</v>
      </c>
      <c r="X41" s="136">
        <f t="shared" si="6"/>
        <v>2339.9499999999998</v>
      </c>
    </row>
    <row r="42" spans="1:24" x14ac:dyDescent="0.25">
      <c r="A42" s="12">
        <v>2000</v>
      </c>
      <c r="B42" s="98">
        <v>37.299999999999997</v>
      </c>
      <c r="C42" s="99">
        <v>634.20000000000005</v>
      </c>
      <c r="D42" s="99">
        <v>671.8</v>
      </c>
      <c r="E42" s="99">
        <v>1405.3</v>
      </c>
      <c r="F42" s="99">
        <v>1018.4</v>
      </c>
      <c r="G42" s="101">
        <v>3373.2</v>
      </c>
      <c r="H42" s="98">
        <v>179.4</v>
      </c>
      <c r="I42" s="99">
        <v>5.9</v>
      </c>
      <c r="J42" s="99"/>
      <c r="K42" s="99">
        <f t="shared" si="1"/>
        <v>291.30000000000007</v>
      </c>
      <c r="L42" s="99">
        <v>476.6</v>
      </c>
      <c r="M42" s="99">
        <v>988.4</v>
      </c>
      <c r="N42" s="99"/>
      <c r="O42" s="101">
        <f t="shared" si="2"/>
        <v>114.39999999999964</v>
      </c>
      <c r="P42" s="98">
        <v>1793.8</v>
      </c>
      <c r="Q42" s="98">
        <f t="shared" si="10"/>
        <v>957</v>
      </c>
      <c r="R42" s="137">
        <f t="shared" si="0"/>
        <v>2896.5999999999995</v>
      </c>
      <c r="S42" s="137">
        <f t="shared" si="4"/>
        <v>2865.1999999999994</v>
      </c>
      <c r="T42" s="137">
        <f t="shared" si="5"/>
        <v>897.3</v>
      </c>
      <c r="U42" s="138">
        <f t="shared" ref="U42:U47" si="11">AVERAGE(G41:G42)</f>
        <v>3175.35</v>
      </c>
      <c r="V42" s="138">
        <f t="shared" ref="V42:V47" si="12">AVERAGE(P41:P42)</f>
        <v>1720</v>
      </c>
      <c r="W42" s="138">
        <f t="shared" si="7"/>
        <v>852.6</v>
      </c>
      <c r="X42" s="139">
        <f t="shared" si="6"/>
        <v>2721.2999999999993</v>
      </c>
    </row>
    <row r="43" spans="1:24" ht="13.5" customHeight="1" x14ac:dyDescent="0.25">
      <c r="A43" s="11">
        <v>2001</v>
      </c>
      <c r="B43" s="87">
        <v>187.2</v>
      </c>
      <c r="C43" s="88">
        <v>562.5</v>
      </c>
      <c r="D43" s="88">
        <v>601.29999999999995</v>
      </c>
      <c r="E43" s="88">
        <v>1421.9</v>
      </c>
      <c r="F43" s="88">
        <v>961.9</v>
      </c>
      <c r="G43" s="91">
        <v>3412.9</v>
      </c>
      <c r="H43" s="87">
        <v>162.4</v>
      </c>
      <c r="I43" s="88">
        <v>5.8</v>
      </c>
      <c r="J43" s="88"/>
      <c r="K43" s="88">
        <f t="shared" si="1"/>
        <v>288.8</v>
      </c>
      <c r="L43" s="88">
        <v>457</v>
      </c>
      <c r="M43" s="88">
        <v>977.6</v>
      </c>
      <c r="N43" s="88"/>
      <c r="O43" s="91">
        <f t="shared" si="2"/>
        <v>111.70000000000027</v>
      </c>
      <c r="P43" s="87">
        <v>1866.6</v>
      </c>
      <c r="Q43" s="87">
        <f t="shared" si="10"/>
        <v>796.2</v>
      </c>
      <c r="R43" s="134">
        <f t="shared" si="0"/>
        <v>2955.9</v>
      </c>
      <c r="S43" s="134">
        <f t="shared" si="4"/>
        <v>2774.5000000000005</v>
      </c>
      <c r="T43" s="134">
        <f t="shared" si="5"/>
        <v>783.5</v>
      </c>
      <c r="U43" s="135">
        <f t="shared" si="11"/>
        <v>3393.05</v>
      </c>
      <c r="V43" s="135">
        <f t="shared" si="12"/>
        <v>1830.1999999999998</v>
      </c>
      <c r="W43" s="135">
        <f t="shared" ref="W43:W48" si="13">AVERAGE(T42:T43)</f>
        <v>840.4</v>
      </c>
      <c r="X43" s="136">
        <f t="shared" ref="X43:X48" si="14">AVERAGE(R42:R43)</f>
        <v>2926.25</v>
      </c>
    </row>
    <row r="44" spans="1:24" x14ac:dyDescent="0.25">
      <c r="A44" s="11">
        <v>2002</v>
      </c>
      <c r="B44" s="87">
        <v>225</v>
      </c>
      <c r="C44" s="88">
        <v>569</v>
      </c>
      <c r="D44" s="88">
        <v>625.70000000000005</v>
      </c>
      <c r="E44" s="88">
        <v>1488</v>
      </c>
      <c r="F44" s="88">
        <v>960.7</v>
      </c>
      <c r="G44" s="91">
        <v>3501.1</v>
      </c>
      <c r="H44" s="87">
        <v>181.9</v>
      </c>
      <c r="I44" s="88">
        <v>127.7</v>
      </c>
      <c r="J44" s="88"/>
      <c r="K44" s="88">
        <f t="shared" si="1"/>
        <v>288.40000000000003</v>
      </c>
      <c r="L44" s="88">
        <v>598</v>
      </c>
      <c r="M44" s="88">
        <v>808.6</v>
      </c>
      <c r="N44" s="88"/>
      <c r="O44" s="91">
        <f t="shared" si="2"/>
        <v>117.59999999999991</v>
      </c>
      <c r="P44" s="87">
        <v>1976.9</v>
      </c>
      <c r="Q44" s="87">
        <f t="shared" si="10"/>
        <v>711.30000000000007</v>
      </c>
      <c r="R44" s="134">
        <f>M44+O44+P44</f>
        <v>2903.1</v>
      </c>
      <c r="S44" s="134">
        <f t="shared" si="4"/>
        <v>2805.7999999999997</v>
      </c>
      <c r="T44" s="134">
        <f t="shared" si="5"/>
        <v>792.7</v>
      </c>
      <c r="U44" s="135">
        <f t="shared" si="11"/>
        <v>3457</v>
      </c>
      <c r="V44" s="135">
        <f t="shared" si="12"/>
        <v>1921.75</v>
      </c>
      <c r="W44" s="135">
        <f t="shared" si="13"/>
        <v>788.1</v>
      </c>
      <c r="X44" s="136">
        <f t="shared" si="14"/>
        <v>2929.5</v>
      </c>
    </row>
    <row r="45" spans="1:24" x14ac:dyDescent="0.25">
      <c r="A45" s="11">
        <v>2003</v>
      </c>
      <c r="B45" s="87">
        <v>443.9</v>
      </c>
      <c r="C45" s="88">
        <v>680.7</v>
      </c>
      <c r="D45" s="88">
        <v>628.29999999999995</v>
      </c>
      <c r="E45" s="88">
        <v>1819.4</v>
      </c>
      <c r="F45" s="88">
        <v>967.1</v>
      </c>
      <c r="G45" s="91">
        <v>3889.7</v>
      </c>
      <c r="H45" s="87">
        <v>195.2</v>
      </c>
      <c r="I45" s="88">
        <v>119.4</v>
      </c>
      <c r="J45" s="88"/>
      <c r="K45" s="88">
        <v>311.3</v>
      </c>
      <c r="L45" s="88">
        <v>625.9</v>
      </c>
      <c r="M45" s="88">
        <v>1012.2</v>
      </c>
      <c r="N45" s="88"/>
      <c r="O45" s="91">
        <f t="shared" si="2"/>
        <v>137.59999999999991</v>
      </c>
      <c r="P45" s="87">
        <v>2114</v>
      </c>
      <c r="Q45" s="87">
        <f t="shared" si="10"/>
        <v>687.70000000000016</v>
      </c>
      <c r="R45" s="134">
        <f>M45+O45+P45</f>
        <v>3263.8</v>
      </c>
      <c r="S45" s="134">
        <f t="shared" si="4"/>
        <v>2939.3</v>
      </c>
      <c r="T45" s="134">
        <f t="shared" si="5"/>
        <v>869</v>
      </c>
      <c r="U45" s="135">
        <f t="shared" si="11"/>
        <v>3695.3999999999996</v>
      </c>
      <c r="V45" s="135">
        <f t="shared" si="12"/>
        <v>2045.45</v>
      </c>
      <c r="W45" s="135">
        <f t="shared" si="13"/>
        <v>830.85</v>
      </c>
      <c r="X45" s="136">
        <f t="shared" si="14"/>
        <v>3083.45</v>
      </c>
    </row>
    <row r="46" spans="1:24" x14ac:dyDescent="0.25">
      <c r="A46" s="11">
        <v>2004</v>
      </c>
      <c r="B46" s="87">
        <v>491.3</v>
      </c>
      <c r="C46" s="88">
        <v>790.7</v>
      </c>
      <c r="D46" s="88">
        <v>705.7</v>
      </c>
      <c r="E46" s="88">
        <v>2064.8000000000002</v>
      </c>
      <c r="F46" s="88">
        <v>960.7</v>
      </c>
      <c r="G46" s="91">
        <v>4197.2</v>
      </c>
      <c r="H46" s="87">
        <v>224.4</v>
      </c>
      <c r="I46" s="88">
        <v>401.3</v>
      </c>
      <c r="J46" s="88"/>
      <c r="K46" s="88">
        <f>239.5+94.4</f>
        <v>333.9</v>
      </c>
      <c r="L46" s="88">
        <v>959.6</v>
      </c>
      <c r="M46" s="88">
        <v>779.4</v>
      </c>
      <c r="N46" s="88"/>
      <c r="O46" s="91">
        <f>59.5+85.6</f>
        <v>145.1</v>
      </c>
      <c r="P46" s="87">
        <v>2313.1</v>
      </c>
      <c r="Q46" s="87">
        <f t="shared" si="10"/>
        <v>689.40000000000009</v>
      </c>
      <c r="R46" s="134">
        <f>M46+O46+P46</f>
        <v>3237.6</v>
      </c>
      <c r="S46" s="134">
        <f>+R46-B46+I46</f>
        <v>3147.6</v>
      </c>
      <c r="T46" s="134">
        <f t="shared" si="5"/>
        <v>1015.2000000000003</v>
      </c>
      <c r="U46" s="135">
        <f t="shared" si="11"/>
        <v>4043.45</v>
      </c>
      <c r="V46" s="135">
        <f t="shared" si="12"/>
        <v>2213.5500000000002</v>
      </c>
      <c r="W46" s="135">
        <f t="shared" si="13"/>
        <v>942.10000000000014</v>
      </c>
      <c r="X46" s="136">
        <f t="shared" si="14"/>
        <v>3250.7</v>
      </c>
    </row>
    <row r="47" spans="1:24" x14ac:dyDescent="0.25">
      <c r="A47" s="12">
        <v>2005</v>
      </c>
      <c r="B47" s="98">
        <f>61.841+3.017</f>
        <v>64.858000000000004</v>
      </c>
      <c r="C47" s="99">
        <f>827.88-20.796+40.539</f>
        <v>847.62299999999993</v>
      </c>
      <c r="D47" s="99">
        <f>767.136</f>
        <v>767.13599999999997</v>
      </c>
      <c r="E47" s="99">
        <f>B47+C47+D47+37.812+23.867+21.992</f>
        <v>1763.2879999999998</v>
      </c>
      <c r="F47" s="99">
        <v>971.06</v>
      </c>
      <c r="G47" s="101">
        <f>E47+F47+1318.275</f>
        <v>4052.623</v>
      </c>
      <c r="H47" s="98">
        <v>254.22399999999999</v>
      </c>
      <c r="I47" s="99">
        <v>98.575999999999993</v>
      </c>
      <c r="J47" s="99"/>
      <c r="K47" s="99">
        <v>385.2</v>
      </c>
      <c r="L47" s="99">
        <v>738</v>
      </c>
      <c r="M47" s="99">
        <v>921.64700000000005</v>
      </c>
      <c r="N47" s="99"/>
      <c r="O47" s="101">
        <v>144</v>
      </c>
      <c r="P47" s="137">
        <f>G47-L47-M47-O47</f>
        <v>2248.9760000000001</v>
      </c>
      <c r="Q47" s="137">
        <f t="shared" si="10"/>
        <v>955.36500000000001</v>
      </c>
      <c r="R47" s="137">
        <f>M47+O47+P47</f>
        <v>3314.623</v>
      </c>
      <c r="S47" s="137">
        <f>+R47-B47+I47</f>
        <v>3348.3409999999999</v>
      </c>
      <c r="T47" s="137">
        <f>+E47-B47-L47+I47</f>
        <v>1059.0059999999999</v>
      </c>
      <c r="U47" s="138">
        <f t="shared" si="11"/>
        <v>4124.9115000000002</v>
      </c>
      <c r="V47" s="138">
        <f t="shared" si="12"/>
        <v>2281.038</v>
      </c>
      <c r="W47" s="138">
        <f t="shared" si="13"/>
        <v>1037.1030000000001</v>
      </c>
      <c r="X47" s="139">
        <f t="shared" si="14"/>
        <v>3276.1115</v>
      </c>
    </row>
    <row r="48" spans="1:24" ht="13.5" customHeight="1" thickBot="1" x14ac:dyDescent="0.3">
      <c r="A48" s="279">
        <v>2006</v>
      </c>
      <c r="B48" s="259">
        <v>131.9</v>
      </c>
      <c r="C48" s="260">
        <v>853.8</v>
      </c>
      <c r="D48" s="260">
        <v>826.3</v>
      </c>
      <c r="E48" s="260">
        <f>B48+C48+D48+82.1</f>
        <v>1894.1</v>
      </c>
      <c r="F48" s="260">
        <v>962.8</v>
      </c>
      <c r="G48" s="262">
        <f>E48+F48+1408.4</f>
        <v>4265.2999999999993</v>
      </c>
      <c r="H48" s="259">
        <v>259</v>
      </c>
      <c r="I48" s="260">
        <v>52</v>
      </c>
      <c r="J48" s="260"/>
      <c r="K48" s="260">
        <f>268+112.2</f>
        <v>380.2</v>
      </c>
      <c r="L48" s="260">
        <f>SUM(H48:K48)</f>
        <v>691.2</v>
      </c>
      <c r="M48" s="260">
        <v>1060</v>
      </c>
      <c r="N48" s="260"/>
      <c r="O48" s="262">
        <f>95.9+67.1</f>
        <v>163</v>
      </c>
      <c r="P48" s="259">
        <f>G48-L48-M48-O48</f>
        <v>2351.0999999999995</v>
      </c>
      <c r="Q48" s="259">
        <f t="shared" si="10"/>
        <v>980.1</v>
      </c>
      <c r="R48" s="280">
        <f>M48+O48+P48</f>
        <v>3574.0999999999995</v>
      </c>
      <c r="S48" s="280">
        <f>+R48-B48+I48</f>
        <v>3494.1999999999994</v>
      </c>
      <c r="T48" s="280">
        <f>+E48-B48-L48+I48</f>
        <v>1122.9999999999998</v>
      </c>
      <c r="U48" s="281">
        <f>AVERAGE(G47:G48)</f>
        <v>4158.9614999999994</v>
      </c>
      <c r="V48" s="281">
        <f>AVERAGE(P47:P48)</f>
        <v>2300.0379999999996</v>
      </c>
      <c r="W48" s="281">
        <f t="shared" si="13"/>
        <v>1091.0029999999997</v>
      </c>
      <c r="X48" s="282">
        <f t="shared" si="14"/>
        <v>3444.3615</v>
      </c>
    </row>
    <row r="49" spans="1:24" ht="6" customHeight="1" thickTop="1" x14ac:dyDescent="0.25">
      <c r="A49" s="19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222"/>
      <c r="V49" s="222"/>
      <c r="W49" s="222"/>
      <c r="X49" s="222"/>
    </row>
    <row r="50" spans="1:24" ht="17.5" x14ac:dyDescent="0.35">
      <c r="A50" s="359" t="s">
        <v>201</v>
      </c>
      <c r="O50" s="220"/>
      <c r="P50" s="299"/>
      <c r="Q50" s="220"/>
    </row>
    <row r="51" spans="1:24" ht="14.5" x14ac:dyDescent="0.25">
      <c r="A51" s="14" t="s">
        <v>274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6"/>
      <c r="Q51" s="16"/>
    </row>
    <row r="52" spans="1:24" ht="14.5" x14ac:dyDescent="0.25">
      <c r="A52" s="14" t="s">
        <v>276</v>
      </c>
      <c r="O52" s="220"/>
      <c r="P52" s="298"/>
      <c r="Q52" s="220"/>
    </row>
    <row r="53" spans="1:24" ht="14.5" x14ac:dyDescent="0.25">
      <c r="A53" s="14" t="s">
        <v>224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6"/>
      <c r="Q53" s="16"/>
    </row>
    <row r="54" spans="1:24" ht="14.5" x14ac:dyDescent="0.25">
      <c r="A54" s="14" t="s">
        <v>278</v>
      </c>
    </row>
    <row r="55" spans="1:24" ht="14.5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6"/>
      <c r="Q55" s="16"/>
    </row>
    <row r="56" spans="1:24" x14ac:dyDescent="0.25">
      <c r="A56" s="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6"/>
      <c r="Q56" s="16"/>
    </row>
    <row r="57" spans="1:24" x14ac:dyDescent="0.25">
      <c r="A57" s="4"/>
      <c r="B57" s="18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6"/>
      <c r="Q57" s="16"/>
    </row>
    <row r="58" spans="1:24" x14ac:dyDescent="0.25">
      <c r="A58" s="19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6"/>
      <c r="Q58" s="16"/>
    </row>
    <row r="59" spans="1:24" x14ac:dyDescent="0.25">
      <c r="A59" s="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6"/>
      <c r="Q59" s="16"/>
    </row>
    <row r="60" spans="1:24" x14ac:dyDescent="0.25">
      <c r="A60" s="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20"/>
      <c r="Q60" s="20"/>
    </row>
    <row r="61" spans="1:24" x14ac:dyDescent="0.25">
      <c r="A61" s="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6"/>
      <c r="Q61" s="16"/>
    </row>
    <row r="62" spans="1:24" x14ac:dyDescent="0.25">
      <c r="A62" s="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6"/>
      <c r="Q62" s="16"/>
    </row>
    <row r="63" spans="1:24" x14ac:dyDescent="0.25">
      <c r="A63" s="4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6"/>
      <c r="Q63" s="16"/>
    </row>
    <row r="64" spans="1:24" x14ac:dyDescent="0.25">
      <c r="A64" s="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6"/>
      <c r="Q64" s="16"/>
    </row>
  </sheetData>
  <mergeCells count="28">
    <mergeCell ref="U4:X4"/>
    <mergeCell ref="U5:U7"/>
    <mergeCell ref="V5:V7"/>
    <mergeCell ref="X5:X7"/>
    <mergeCell ref="W5:W7"/>
    <mergeCell ref="A4:A7"/>
    <mergeCell ref="B4:G4"/>
    <mergeCell ref="H4:O4"/>
    <mergeCell ref="B5:B7"/>
    <mergeCell ref="C5:C7"/>
    <mergeCell ref="D5:D7"/>
    <mergeCell ref="E5:E7"/>
    <mergeCell ref="F5:F7"/>
    <mergeCell ref="I5:I7"/>
    <mergeCell ref="K5:K7"/>
    <mergeCell ref="T5:T7"/>
    <mergeCell ref="P5:P7"/>
    <mergeCell ref="R5:R7"/>
    <mergeCell ref="L5:L7"/>
    <mergeCell ref="O5:O7"/>
    <mergeCell ref="S5:S7"/>
    <mergeCell ref="Q5:Q7"/>
    <mergeCell ref="N5:N7"/>
    <mergeCell ref="B8:C8"/>
    <mergeCell ref="M5:M7"/>
    <mergeCell ref="G5:G7"/>
    <mergeCell ref="H5:H7"/>
    <mergeCell ref="J5:J7"/>
  </mergeCells>
  <phoneticPr fontId="0" type="noConversion"/>
  <printOptions horizontalCentered="1" verticalCentered="1"/>
  <pageMargins left="0.3" right="0.3" top="0.25" bottom="0.25" header="0.4" footer="0.4"/>
  <pageSetup scale="66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2282D-8056-4BE3-83B3-F65F30D57ABF}">
  <dimension ref="A1:Z53"/>
  <sheetViews>
    <sheetView zoomScaleNormal="100" zoomScaleSheetLayoutView="100" workbookViewId="0">
      <pane xSplit="1" ySplit="7" topLeftCell="B16" activePane="bottomRight" state="frozen"/>
      <selection activeCell="D44" sqref="D44"/>
      <selection pane="topRight" activeCell="D44" sqref="D44"/>
      <selection pane="bottomLeft" activeCell="D44" sqref="D44"/>
      <selection pane="bottomRight" activeCell="D44" sqref="D44"/>
    </sheetView>
  </sheetViews>
  <sheetFormatPr defaultRowHeight="12.5" x14ac:dyDescent="0.25"/>
  <cols>
    <col min="1" max="1" width="9.26953125" bestFit="1" customWidth="1"/>
    <col min="2" max="2" width="6.7265625" customWidth="1"/>
    <col min="3" max="4" width="7.7265625" customWidth="1"/>
    <col min="5" max="5" width="8.26953125" customWidth="1"/>
    <col min="6" max="6" width="8.1796875" customWidth="1"/>
    <col min="7" max="7" width="8" customWidth="1"/>
    <col min="8" max="8" width="8.7265625" customWidth="1"/>
    <col min="9" max="11" width="6.7265625" customWidth="1"/>
    <col min="12" max="12" width="10.26953125" customWidth="1"/>
    <col min="13" max="14" width="8" customWidth="1"/>
    <col min="15" max="15" width="6.7265625" customWidth="1"/>
    <col min="16" max="16" width="8.1796875" customWidth="1"/>
    <col min="17" max="17" width="8.26953125" bestFit="1" customWidth="1"/>
    <col min="18" max="18" width="8.453125" customWidth="1"/>
    <col min="19" max="19" width="10.1796875" customWidth="1"/>
    <col min="20" max="20" width="9.7265625" customWidth="1"/>
    <col min="21" max="21" width="8.7265625" customWidth="1"/>
    <col min="22" max="22" width="7.7265625" customWidth="1"/>
    <col min="23" max="24" width="8.7265625" customWidth="1"/>
  </cols>
  <sheetData>
    <row r="1" spans="1:24" s="220" customFormat="1" ht="30" x14ac:dyDescent="0.6">
      <c r="A1" s="420" t="s">
        <v>366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</row>
    <row r="2" spans="1:24" s="220" customFormat="1" ht="30" x14ac:dyDescent="0.5">
      <c r="A2" s="423" t="s">
        <v>359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</row>
    <row r="3" spans="1:24" ht="6" customHeight="1" x14ac:dyDescent="0.25"/>
    <row r="4" spans="1:24" ht="15.75" customHeight="1" x14ac:dyDescent="0.3">
      <c r="A4" s="518" t="s">
        <v>9</v>
      </c>
      <c r="B4" s="527" t="s">
        <v>4</v>
      </c>
      <c r="C4" s="528"/>
      <c r="D4" s="528"/>
      <c r="E4" s="528"/>
      <c r="F4" s="528"/>
      <c r="G4" s="530"/>
      <c r="H4" s="527" t="s">
        <v>10</v>
      </c>
      <c r="I4" s="528"/>
      <c r="J4" s="528"/>
      <c r="K4" s="528"/>
      <c r="L4" s="571"/>
      <c r="M4" s="528"/>
      <c r="N4" s="528"/>
      <c r="O4" s="530"/>
      <c r="P4" s="84" t="s">
        <v>37</v>
      </c>
      <c r="Q4" s="84"/>
      <c r="R4" s="85"/>
      <c r="S4" s="85"/>
      <c r="T4" s="86"/>
      <c r="U4" s="527" t="s">
        <v>77</v>
      </c>
      <c r="V4" s="528"/>
      <c r="W4" s="528"/>
      <c r="X4" s="530"/>
    </row>
    <row r="5" spans="1:24" ht="15" customHeight="1" x14ac:dyDescent="0.25">
      <c r="A5" s="518"/>
      <c r="B5" s="572" t="s">
        <v>93</v>
      </c>
      <c r="C5" s="561" t="s">
        <v>94</v>
      </c>
      <c r="D5" s="561" t="s">
        <v>95</v>
      </c>
      <c r="E5" s="561" t="s">
        <v>11</v>
      </c>
      <c r="F5" s="561" t="s">
        <v>38</v>
      </c>
      <c r="G5" s="564" t="s">
        <v>12</v>
      </c>
      <c r="H5" s="561" t="s">
        <v>114</v>
      </c>
      <c r="I5" s="561" t="s">
        <v>115</v>
      </c>
      <c r="J5" s="561" t="s">
        <v>222</v>
      </c>
      <c r="K5" s="561" t="s">
        <v>174</v>
      </c>
      <c r="L5" s="570" t="s">
        <v>116</v>
      </c>
      <c r="M5" s="561" t="s">
        <v>13</v>
      </c>
      <c r="N5" s="561" t="s">
        <v>223</v>
      </c>
      <c r="O5" s="564" t="s">
        <v>96</v>
      </c>
      <c r="P5" s="567"/>
      <c r="Q5" s="567" t="s">
        <v>273</v>
      </c>
      <c r="R5" s="567" t="s">
        <v>275</v>
      </c>
      <c r="S5" s="567" t="s">
        <v>128</v>
      </c>
      <c r="T5" s="567" t="s">
        <v>277</v>
      </c>
      <c r="U5" s="561" t="s">
        <v>12</v>
      </c>
      <c r="V5" s="561" t="s">
        <v>37</v>
      </c>
      <c r="W5" s="561" t="s">
        <v>97</v>
      </c>
      <c r="X5" s="564" t="s">
        <v>78</v>
      </c>
    </row>
    <row r="6" spans="1:24" ht="12.75" customHeight="1" x14ac:dyDescent="0.25">
      <c r="A6" s="518"/>
      <c r="B6" s="572"/>
      <c r="C6" s="562"/>
      <c r="D6" s="562"/>
      <c r="E6" s="562"/>
      <c r="F6" s="562"/>
      <c r="G6" s="565"/>
      <c r="H6" s="562"/>
      <c r="I6" s="562"/>
      <c r="J6" s="562"/>
      <c r="K6" s="562"/>
      <c r="L6" s="562"/>
      <c r="M6" s="562"/>
      <c r="N6" s="562"/>
      <c r="O6" s="565"/>
      <c r="P6" s="568"/>
      <c r="Q6" s="568"/>
      <c r="R6" s="568"/>
      <c r="S6" s="568"/>
      <c r="T6" s="568"/>
      <c r="U6" s="562"/>
      <c r="V6" s="562"/>
      <c r="W6" s="562"/>
      <c r="X6" s="565"/>
    </row>
    <row r="7" spans="1:24" ht="13.5" customHeight="1" thickBot="1" x14ac:dyDescent="0.3">
      <c r="A7" s="519"/>
      <c r="B7" s="573"/>
      <c r="C7" s="563"/>
      <c r="D7" s="563"/>
      <c r="E7" s="563"/>
      <c r="F7" s="563"/>
      <c r="G7" s="566"/>
      <c r="H7" s="563"/>
      <c r="I7" s="563"/>
      <c r="J7" s="563"/>
      <c r="K7" s="563"/>
      <c r="L7" s="563"/>
      <c r="M7" s="563"/>
      <c r="N7" s="563"/>
      <c r="O7" s="566"/>
      <c r="P7" s="569"/>
      <c r="Q7" s="569"/>
      <c r="R7" s="569"/>
      <c r="S7" s="569"/>
      <c r="T7" s="569"/>
      <c r="U7" s="563"/>
      <c r="V7" s="563"/>
      <c r="W7" s="563"/>
      <c r="X7" s="566"/>
    </row>
    <row r="8" spans="1:24" ht="6" customHeight="1" x14ac:dyDescent="0.25">
      <c r="A8" s="19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222"/>
      <c r="V8" s="222"/>
      <c r="W8" s="222"/>
      <c r="X8" s="222"/>
    </row>
    <row r="9" spans="1:24" ht="17.5" x14ac:dyDescent="0.35">
      <c r="A9" s="283" t="s">
        <v>136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302"/>
    </row>
    <row r="10" spans="1:24" ht="14.5" x14ac:dyDescent="0.25">
      <c r="A10" s="11" t="s">
        <v>175</v>
      </c>
      <c r="B10" s="316">
        <v>64.900000000000006</v>
      </c>
      <c r="C10" s="90">
        <f>847.6-152.7</f>
        <v>694.90000000000009</v>
      </c>
      <c r="D10" s="90">
        <f>767.1-165</f>
        <v>602.1</v>
      </c>
      <c r="E10" s="90">
        <f>B10+C10+D10+82.9-15.4</f>
        <v>1429.4</v>
      </c>
      <c r="F10" s="90">
        <f>971.1-231.5</f>
        <v>739.6</v>
      </c>
      <c r="G10" s="319">
        <f>E10+F10+1338.8-138-21.5-9.3</f>
        <v>3339</v>
      </c>
      <c r="H10" s="316">
        <f>254.2-50.5</f>
        <v>203.7</v>
      </c>
      <c r="I10" s="90">
        <f>98.6-0.035</f>
        <v>98.564999999999998</v>
      </c>
      <c r="J10" s="90"/>
      <c r="K10" s="90">
        <f>279.3+113.7-22.3-1</f>
        <v>369.7</v>
      </c>
      <c r="L10" s="90">
        <f t="shared" ref="L10:L15" si="0">SUM(H10:K10)</f>
        <v>671.96499999999992</v>
      </c>
      <c r="M10" s="90">
        <f>921.6-0.4</f>
        <v>921.2</v>
      </c>
      <c r="N10" s="90"/>
      <c r="O10" s="319">
        <f>84.6+71.4-0.8</f>
        <v>155.19999999999999</v>
      </c>
      <c r="P10" s="316">
        <f t="shared" ref="P10:P23" si="1">G10-L10-M10-O10</f>
        <v>1590.6349999999998</v>
      </c>
      <c r="Q10" s="316">
        <f t="shared" ref="Q10:Q26" si="2">+M10+I10-B10</f>
        <v>954.86500000000012</v>
      </c>
      <c r="R10" s="317">
        <f t="shared" ref="R10:R23" si="3">M10+O10+P10</f>
        <v>2667.0349999999999</v>
      </c>
      <c r="S10" s="317">
        <f t="shared" ref="S10:S23" si="4">+R10-B10+I10</f>
        <v>2700.7</v>
      </c>
      <c r="T10" s="317">
        <f t="shared" ref="T10:T23" si="5">(E10-B10)-(L10-I10)</f>
        <v>791.10000000000014</v>
      </c>
      <c r="U10" s="222" t="s">
        <v>146</v>
      </c>
      <c r="V10" s="222" t="s">
        <v>146</v>
      </c>
      <c r="W10" s="222" t="s">
        <v>146</v>
      </c>
      <c r="X10" s="318" t="s">
        <v>146</v>
      </c>
    </row>
    <row r="11" spans="1:24" ht="14.5" x14ac:dyDescent="0.25">
      <c r="A11" s="11" t="s">
        <v>176</v>
      </c>
      <c r="B11" s="316">
        <v>131.9</v>
      </c>
      <c r="C11" s="90">
        <f>853.8-146.4</f>
        <v>707.4</v>
      </c>
      <c r="D11" s="90">
        <f>826.3-179</f>
        <v>647.29999999999995</v>
      </c>
      <c r="E11" s="90">
        <f>B11+C11+D11+82.1-13.8</f>
        <v>1554.8999999999999</v>
      </c>
      <c r="F11" s="90">
        <f>962.8-268.5</f>
        <v>694.3</v>
      </c>
      <c r="G11" s="319">
        <f>E11+F11+1408.4-138-15-4.8</f>
        <v>3499.7999999999997</v>
      </c>
      <c r="H11" s="316">
        <f>259-50.1</f>
        <v>208.9</v>
      </c>
      <c r="I11" s="90">
        <f>52-0.035</f>
        <v>51.965000000000003</v>
      </c>
      <c r="J11" s="90"/>
      <c r="K11" s="90">
        <f>380.2-18.4-4.8</f>
        <v>357</v>
      </c>
      <c r="L11" s="90">
        <f t="shared" si="0"/>
        <v>617.86500000000001</v>
      </c>
      <c r="M11" s="90">
        <f>1060-0.4</f>
        <v>1059.5999999999999</v>
      </c>
      <c r="N11" s="90"/>
      <c r="O11" s="319">
        <f>163-0.6</f>
        <v>162.4</v>
      </c>
      <c r="P11" s="316">
        <f t="shared" si="1"/>
        <v>1659.9349999999995</v>
      </c>
      <c r="Q11" s="316">
        <f t="shared" si="2"/>
        <v>979.66499999999985</v>
      </c>
      <c r="R11" s="317">
        <f t="shared" si="3"/>
        <v>2881.9349999999995</v>
      </c>
      <c r="S11" s="317">
        <f t="shared" si="4"/>
        <v>2801.9999999999995</v>
      </c>
      <c r="T11" s="317">
        <f t="shared" si="5"/>
        <v>857.0999999999998</v>
      </c>
      <c r="U11" s="222">
        <f t="shared" ref="U11:U24" si="6">(G11+G10)/2</f>
        <v>3419.3999999999996</v>
      </c>
      <c r="V11" s="222">
        <f t="shared" ref="V11:V28" si="7">(P11+P10)/2</f>
        <v>1625.2849999999996</v>
      </c>
      <c r="W11" s="222">
        <f t="shared" ref="W11:W26" si="8">(T11+T10)/2</f>
        <v>824.09999999999991</v>
      </c>
      <c r="X11" s="318">
        <f t="shared" ref="X11:X28" si="9">(R11+R10)/2</f>
        <v>2774.4849999999997</v>
      </c>
    </row>
    <row r="12" spans="1:24" ht="14.5" x14ac:dyDescent="0.25">
      <c r="A12" s="11" t="s">
        <v>177</v>
      </c>
      <c r="B12" s="316">
        <v>205.4</v>
      </c>
      <c r="C12" s="90">
        <f>640.2-9.8</f>
        <v>630.40000000000009</v>
      </c>
      <c r="D12" s="90">
        <f>599.2-8.2</f>
        <v>591</v>
      </c>
      <c r="E12" s="90">
        <f>B12+C12+D12+104.6-0.017</f>
        <v>1531.383</v>
      </c>
      <c r="F12" s="90">
        <f>726.9-(-0.2)</f>
        <v>727.1</v>
      </c>
      <c r="G12" s="319">
        <f>E12+F12+1241.7-4.3</f>
        <v>3495.8829999999998</v>
      </c>
      <c r="H12" s="316">
        <f>227.6-2.6</f>
        <v>225</v>
      </c>
      <c r="I12" s="90">
        <f>88.7-0</f>
        <v>88.7</v>
      </c>
      <c r="J12" s="90"/>
      <c r="K12" s="90">
        <f>274.6+136.3-2.5</f>
        <v>408.40000000000003</v>
      </c>
      <c r="L12" s="90">
        <f t="shared" si="0"/>
        <v>722.1</v>
      </c>
      <c r="M12" s="90">
        <f>1000.6-0</f>
        <v>1000.6</v>
      </c>
      <c r="N12" s="90"/>
      <c r="O12" s="319">
        <f>96.3+42.3-0</f>
        <v>138.6</v>
      </c>
      <c r="P12" s="316">
        <f t="shared" si="1"/>
        <v>1634.5830000000001</v>
      </c>
      <c r="Q12" s="316">
        <f t="shared" si="2"/>
        <v>883.9</v>
      </c>
      <c r="R12" s="317">
        <f t="shared" si="3"/>
        <v>2773.7830000000004</v>
      </c>
      <c r="S12" s="317">
        <f t="shared" si="4"/>
        <v>2657.0830000000001</v>
      </c>
      <c r="T12" s="317">
        <f t="shared" si="5"/>
        <v>692.58299999999997</v>
      </c>
      <c r="U12" s="222">
        <f t="shared" si="6"/>
        <v>3497.8414999999995</v>
      </c>
      <c r="V12" s="222">
        <f t="shared" si="7"/>
        <v>1647.2589999999998</v>
      </c>
      <c r="W12" s="222">
        <f t="shared" si="8"/>
        <v>774.84149999999988</v>
      </c>
      <c r="X12" s="318">
        <f t="shared" si="9"/>
        <v>2827.8589999999999</v>
      </c>
    </row>
    <row r="13" spans="1:24" ht="14.5" x14ac:dyDescent="0.25">
      <c r="A13" s="11" t="s">
        <v>190</v>
      </c>
      <c r="B13" s="316">
        <v>164.7</v>
      </c>
      <c r="C13" s="90">
        <v>550.5</v>
      </c>
      <c r="D13" s="90">
        <v>495</v>
      </c>
      <c r="E13" s="90">
        <f>B13+C13+D13+65.6</f>
        <v>1275.8</v>
      </c>
      <c r="F13" s="90">
        <v>681.4</v>
      </c>
      <c r="G13" s="319">
        <f>E13+F13+1143.5</f>
        <v>3100.7</v>
      </c>
      <c r="H13" s="316">
        <v>175.3</v>
      </c>
      <c r="I13" s="90">
        <v>22.4</v>
      </c>
      <c r="J13" s="90"/>
      <c r="K13" s="90">
        <f>234.9+84.2</f>
        <v>319.10000000000002</v>
      </c>
      <c r="L13" s="90">
        <f t="shared" si="0"/>
        <v>516.80000000000007</v>
      </c>
      <c r="M13" s="90">
        <v>851.2</v>
      </c>
      <c r="N13" s="90"/>
      <c r="O13" s="319">
        <v>133.5</v>
      </c>
      <c r="P13" s="316">
        <f t="shared" si="1"/>
        <v>1599.1999999999996</v>
      </c>
      <c r="Q13" s="316">
        <f t="shared" si="2"/>
        <v>708.90000000000009</v>
      </c>
      <c r="R13" s="317">
        <f t="shared" si="3"/>
        <v>2583.8999999999996</v>
      </c>
      <c r="S13" s="317">
        <f t="shared" si="4"/>
        <v>2441.6</v>
      </c>
      <c r="T13" s="317">
        <f t="shared" si="5"/>
        <v>616.69999999999982</v>
      </c>
      <c r="U13" s="222">
        <f t="shared" si="6"/>
        <v>3298.2914999999998</v>
      </c>
      <c r="V13" s="222">
        <f t="shared" si="7"/>
        <v>1616.8914999999997</v>
      </c>
      <c r="W13" s="222">
        <f t="shared" si="8"/>
        <v>654.64149999999995</v>
      </c>
      <c r="X13" s="318">
        <f t="shared" si="9"/>
        <v>2678.8415</v>
      </c>
    </row>
    <row r="14" spans="1:24" ht="14.5" x14ac:dyDescent="0.25">
      <c r="A14" s="11" t="s">
        <v>194</v>
      </c>
      <c r="B14" s="316">
        <v>260.5</v>
      </c>
      <c r="C14" s="90">
        <v>469.5</v>
      </c>
      <c r="D14" s="90">
        <v>409.1</v>
      </c>
      <c r="E14" s="90">
        <f>B14+C14+D14+58.1</f>
        <v>1197.1999999999998</v>
      </c>
      <c r="F14" s="90">
        <v>668.6</v>
      </c>
      <c r="G14" s="319">
        <f>E14+F14+1151.8</f>
        <v>3017.5999999999995</v>
      </c>
      <c r="H14" s="316">
        <v>199.4</v>
      </c>
      <c r="I14" s="90">
        <v>10.1</v>
      </c>
      <c r="J14" s="90"/>
      <c r="K14" s="90">
        <v>322.39999999999998</v>
      </c>
      <c r="L14" s="90">
        <f t="shared" si="0"/>
        <v>531.9</v>
      </c>
      <c r="M14" s="90">
        <v>789.3</v>
      </c>
      <c r="N14" s="90"/>
      <c r="O14" s="319">
        <v>161.30000000000001</v>
      </c>
      <c r="P14" s="316">
        <f t="shared" si="1"/>
        <v>1535.0999999999995</v>
      </c>
      <c r="Q14" s="316">
        <f t="shared" si="2"/>
        <v>538.9</v>
      </c>
      <c r="R14" s="317">
        <f t="shared" si="3"/>
        <v>2485.6999999999994</v>
      </c>
      <c r="S14" s="317">
        <f t="shared" si="4"/>
        <v>2235.2999999999993</v>
      </c>
      <c r="T14" s="317">
        <f t="shared" si="5"/>
        <v>414.89999999999986</v>
      </c>
      <c r="U14" s="222">
        <f t="shared" si="6"/>
        <v>3059.1499999999996</v>
      </c>
      <c r="V14" s="222">
        <f t="shared" si="7"/>
        <v>1567.1499999999996</v>
      </c>
      <c r="W14" s="222">
        <f t="shared" si="8"/>
        <v>515.79999999999984</v>
      </c>
      <c r="X14" s="318">
        <f t="shared" si="9"/>
        <v>2534.7999999999993</v>
      </c>
    </row>
    <row r="15" spans="1:24" x14ac:dyDescent="0.25">
      <c r="A15" s="342">
        <v>2010</v>
      </c>
      <c r="B15" s="100">
        <v>244.5</v>
      </c>
      <c r="C15" s="100">
        <v>478.9</v>
      </c>
      <c r="D15" s="100">
        <v>435.3</v>
      </c>
      <c r="E15" s="100">
        <f>B15+C15+D15+60.4</f>
        <v>1219.1000000000001</v>
      </c>
      <c r="F15" s="100">
        <v>624.20000000000005</v>
      </c>
      <c r="G15" s="326">
        <f>E15+F15+1157.7</f>
        <v>3001</v>
      </c>
      <c r="H15" s="322">
        <v>226.4</v>
      </c>
      <c r="I15" s="100">
        <v>2.2000000000000002</v>
      </c>
      <c r="J15" s="100"/>
      <c r="K15" s="100">
        <f>209.5+84.9</f>
        <v>294.39999999999998</v>
      </c>
      <c r="L15" s="100">
        <f t="shared" si="0"/>
        <v>523</v>
      </c>
      <c r="M15" s="100">
        <v>762.2</v>
      </c>
      <c r="N15" s="100"/>
      <c r="O15" s="326">
        <f>121.9+69.5</f>
        <v>191.4</v>
      </c>
      <c r="P15" s="322">
        <f t="shared" si="1"/>
        <v>1524.3999999999999</v>
      </c>
      <c r="Q15" s="322">
        <f t="shared" si="2"/>
        <v>519.90000000000009</v>
      </c>
      <c r="R15" s="335">
        <f t="shared" si="3"/>
        <v>2478</v>
      </c>
      <c r="S15" s="335">
        <f t="shared" si="4"/>
        <v>2235.6999999999998</v>
      </c>
      <c r="T15" s="335">
        <f t="shared" si="5"/>
        <v>453.80000000000018</v>
      </c>
      <c r="U15" s="336">
        <f t="shared" si="6"/>
        <v>3009.2999999999997</v>
      </c>
      <c r="V15" s="336">
        <f t="shared" si="7"/>
        <v>1529.7499999999995</v>
      </c>
      <c r="W15" s="336">
        <f t="shared" si="8"/>
        <v>434.35</v>
      </c>
      <c r="X15" s="337">
        <f t="shared" si="9"/>
        <v>2481.8499999999995</v>
      </c>
    </row>
    <row r="16" spans="1:24" x14ac:dyDescent="0.25">
      <c r="A16" s="343">
        <v>2011</v>
      </c>
      <c r="B16" s="90">
        <v>236.3</v>
      </c>
      <c r="C16" s="90">
        <v>503.6</v>
      </c>
      <c r="D16" s="90">
        <v>441</v>
      </c>
      <c r="E16" s="90">
        <f>B16+C16+D16+43.1</f>
        <v>1224</v>
      </c>
      <c r="F16" s="90">
        <v>580.6</v>
      </c>
      <c r="G16" s="328">
        <f>E16+F16+1110.5</f>
        <v>2915.1</v>
      </c>
      <c r="H16" s="90">
        <v>256.60000000000002</v>
      </c>
      <c r="I16" s="90">
        <v>2.5</v>
      </c>
      <c r="J16" s="90"/>
      <c r="K16" s="90">
        <v>326.89999999999998</v>
      </c>
      <c r="L16" s="90">
        <f t="shared" ref="L16:L26" si="10">SUM(H16:K16)</f>
        <v>586</v>
      </c>
      <c r="M16" s="90">
        <v>833.3</v>
      </c>
      <c r="N16" s="90"/>
      <c r="O16" s="328">
        <v>188.1</v>
      </c>
      <c r="P16" s="338">
        <f t="shared" si="1"/>
        <v>1307.7</v>
      </c>
      <c r="Q16" s="338">
        <f t="shared" si="2"/>
        <v>599.5</v>
      </c>
      <c r="R16" s="338">
        <f t="shared" si="3"/>
        <v>2329.1</v>
      </c>
      <c r="S16" s="338">
        <f t="shared" si="4"/>
        <v>2095.2999999999997</v>
      </c>
      <c r="T16" s="338">
        <f t="shared" si="5"/>
        <v>404.20000000000005</v>
      </c>
      <c r="U16" s="222">
        <f t="shared" si="6"/>
        <v>2958.05</v>
      </c>
      <c r="V16" s="222">
        <f t="shared" si="7"/>
        <v>1416.05</v>
      </c>
      <c r="W16" s="222">
        <f t="shared" si="8"/>
        <v>429.00000000000011</v>
      </c>
      <c r="X16" s="339">
        <f t="shared" si="9"/>
        <v>2403.5500000000002</v>
      </c>
    </row>
    <row r="17" spans="1:26" x14ac:dyDescent="0.25">
      <c r="A17" s="343">
        <v>2012</v>
      </c>
      <c r="B17" s="90">
        <v>359.1</v>
      </c>
      <c r="C17" s="90">
        <v>446.2</v>
      </c>
      <c r="D17" s="90">
        <v>489</v>
      </c>
      <c r="E17" s="90">
        <f>B17+C17+D17+44.8</f>
        <v>1339.1</v>
      </c>
      <c r="F17" s="90">
        <v>572.79999999999995</v>
      </c>
      <c r="G17" s="319">
        <f>E17+F17+21.8+1321.2</f>
        <v>3254.8999999999996</v>
      </c>
      <c r="H17" s="90">
        <v>285.39999999999998</v>
      </c>
      <c r="I17" s="90">
        <v>201.5</v>
      </c>
      <c r="J17" s="90"/>
      <c r="K17" s="90">
        <v>244.1</v>
      </c>
      <c r="L17" s="90">
        <f t="shared" si="10"/>
        <v>731</v>
      </c>
      <c r="M17" s="90">
        <v>853.9</v>
      </c>
      <c r="N17" s="90"/>
      <c r="O17" s="319">
        <v>227.8</v>
      </c>
      <c r="P17" s="317">
        <f t="shared" si="1"/>
        <v>1442.1999999999996</v>
      </c>
      <c r="Q17" s="317">
        <f t="shared" si="2"/>
        <v>696.30000000000007</v>
      </c>
      <c r="R17" s="317">
        <f t="shared" si="3"/>
        <v>2523.8999999999996</v>
      </c>
      <c r="S17" s="317">
        <f t="shared" si="4"/>
        <v>2366.2999999999997</v>
      </c>
      <c r="T17" s="317">
        <f t="shared" si="5"/>
        <v>450.49999999999989</v>
      </c>
      <c r="U17" s="222">
        <f t="shared" si="6"/>
        <v>3085</v>
      </c>
      <c r="V17" s="222">
        <f t="shared" si="7"/>
        <v>1374.9499999999998</v>
      </c>
      <c r="W17" s="222">
        <f t="shared" si="8"/>
        <v>427.34999999999997</v>
      </c>
      <c r="X17" s="318">
        <f t="shared" si="9"/>
        <v>2426.5</v>
      </c>
    </row>
    <row r="18" spans="1:26" x14ac:dyDescent="0.25">
      <c r="A18" s="343">
        <v>2013</v>
      </c>
      <c r="B18" s="90">
        <v>272.7</v>
      </c>
      <c r="C18" s="90">
        <v>467.4</v>
      </c>
      <c r="D18" s="90">
        <v>495.9</v>
      </c>
      <c r="E18" s="90">
        <f>B18+C18+D18+45.7</f>
        <v>1281.7</v>
      </c>
      <c r="F18" s="90">
        <v>574.6</v>
      </c>
      <c r="G18" s="319">
        <f>E18+F18+19.1+1232.7</f>
        <v>3108.1000000000004</v>
      </c>
      <c r="H18" s="90">
        <v>339.3</v>
      </c>
      <c r="I18" s="90">
        <v>181.1</v>
      </c>
      <c r="J18" s="90"/>
      <c r="K18" s="90">
        <v>309.10000000000002</v>
      </c>
      <c r="L18" s="90">
        <f t="shared" si="10"/>
        <v>829.5</v>
      </c>
      <c r="M18" s="90">
        <v>688.4</v>
      </c>
      <c r="N18" s="90"/>
      <c r="O18" s="319">
        <v>191</v>
      </c>
      <c r="P18" s="317">
        <f t="shared" si="1"/>
        <v>1399.2000000000003</v>
      </c>
      <c r="Q18" s="317">
        <f t="shared" si="2"/>
        <v>596.79999999999995</v>
      </c>
      <c r="R18" s="317">
        <f t="shared" si="3"/>
        <v>2278.6000000000004</v>
      </c>
      <c r="S18" s="317">
        <f t="shared" si="4"/>
        <v>2187.0000000000005</v>
      </c>
      <c r="T18" s="317">
        <f t="shared" si="5"/>
        <v>360.6</v>
      </c>
      <c r="U18" s="222">
        <f t="shared" si="6"/>
        <v>3181.5</v>
      </c>
      <c r="V18" s="222">
        <f t="shared" si="7"/>
        <v>1420.6999999999998</v>
      </c>
      <c r="W18" s="222">
        <f t="shared" si="8"/>
        <v>405.54999999999995</v>
      </c>
      <c r="X18" s="318">
        <f t="shared" si="9"/>
        <v>2401.25</v>
      </c>
    </row>
    <row r="19" spans="1:26" x14ac:dyDescent="0.25">
      <c r="A19" s="343">
        <v>2014</v>
      </c>
      <c r="B19" s="90">
        <v>332.8</v>
      </c>
      <c r="C19" s="90">
        <v>523.29999999999995</v>
      </c>
      <c r="D19" s="90">
        <v>481.6</v>
      </c>
      <c r="E19" s="90">
        <f>B19+C19+D19+10.4+81.5</f>
        <v>1429.6</v>
      </c>
      <c r="F19" s="90">
        <v>558.9</v>
      </c>
      <c r="G19" s="319">
        <f>E19+F19+1129.7+22.4</f>
        <v>3140.6</v>
      </c>
      <c r="H19" s="90">
        <v>369.8</v>
      </c>
      <c r="I19" s="90">
        <v>201.7</v>
      </c>
      <c r="J19" s="90"/>
      <c r="K19" s="90">
        <f>5.4+415.3</f>
        <v>420.7</v>
      </c>
      <c r="L19" s="90">
        <f t="shared" si="10"/>
        <v>992.2</v>
      </c>
      <c r="M19" s="90">
        <v>766.7</v>
      </c>
      <c r="N19" s="90"/>
      <c r="O19" s="319">
        <v>226.8</v>
      </c>
      <c r="P19" s="317">
        <f t="shared" si="1"/>
        <v>1154.8999999999996</v>
      </c>
      <c r="Q19" s="317">
        <f t="shared" si="2"/>
        <v>635.60000000000014</v>
      </c>
      <c r="R19" s="317">
        <f t="shared" si="3"/>
        <v>2148.3999999999996</v>
      </c>
      <c r="S19" s="317">
        <f t="shared" si="4"/>
        <v>2017.2999999999997</v>
      </c>
      <c r="T19" s="317">
        <f t="shared" si="5"/>
        <v>306.29999999999995</v>
      </c>
      <c r="U19" s="222">
        <f t="shared" si="6"/>
        <v>3124.3500000000004</v>
      </c>
      <c r="V19" s="222">
        <f t="shared" si="7"/>
        <v>1277.05</v>
      </c>
      <c r="W19" s="222">
        <f t="shared" si="8"/>
        <v>333.45</v>
      </c>
      <c r="X19" s="318">
        <f t="shared" si="9"/>
        <v>2213.5</v>
      </c>
    </row>
    <row r="20" spans="1:26" ht="14.5" x14ac:dyDescent="0.25">
      <c r="A20" s="401" t="s">
        <v>240</v>
      </c>
      <c r="B20" s="100">
        <v>253.2</v>
      </c>
      <c r="C20" s="100">
        <v>520.20000000000005</v>
      </c>
      <c r="D20" s="100">
        <v>518.70000000000005</v>
      </c>
      <c r="E20" s="100">
        <f>B20+C20+D20+33.2</f>
        <v>1325.3000000000002</v>
      </c>
      <c r="F20" s="100">
        <v>540.79999999999995</v>
      </c>
      <c r="G20" s="326">
        <f>E20+F20+1103.3+8.4</f>
        <v>2977.8</v>
      </c>
      <c r="H20" s="100">
        <v>307.2</v>
      </c>
      <c r="I20" s="100">
        <v>3.4</v>
      </c>
      <c r="J20" s="100"/>
      <c r="K20" s="100">
        <v>390.6</v>
      </c>
      <c r="L20" s="100">
        <f t="shared" si="10"/>
        <v>701.2</v>
      </c>
      <c r="M20" s="100">
        <v>941.5</v>
      </c>
      <c r="N20" s="100"/>
      <c r="O20" s="326">
        <v>228.7</v>
      </c>
      <c r="P20" s="335">
        <f t="shared" si="1"/>
        <v>1106.4000000000003</v>
      </c>
      <c r="Q20" s="335">
        <f t="shared" si="2"/>
        <v>691.7</v>
      </c>
      <c r="R20" s="335">
        <f t="shared" si="3"/>
        <v>2276.6000000000004</v>
      </c>
      <c r="S20" s="335">
        <f t="shared" si="4"/>
        <v>2026.8000000000004</v>
      </c>
      <c r="T20" s="335">
        <f t="shared" si="5"/>
        <v>374.30000000000007</v>
      </c>
      <c r="U20" s="336">
        <f t="shared" si="6"/>
        <v>3059.2</v>
      </c>
      <c r="V20" s="336">
        <f t="shared" si="7"/>
        <v>1130.6500000000001</v>
      </c>
      <c r="W20" s="336">
        <f t="shared" si="8"/>
        <v>340.3</v>
      </c>
      <c r="X20" s="337">
        <f t="shared" si="9"/>
        <v>2212.5</v>
      </c>
    </row>
    <row r="21" spans="1:26" ht="14.5" x14ac:dyDescent="0.25">
      <c r="A21" s="400" t="s">
        <v>241</v>
      </c>
      <c r="B21" s="90">
        <v>281.89999999999998</v>
      </c>
      <c r="C21" s="90">
        <v>486.6</v>
      </c>
      <c r="D21" s="90">
        <v>547.4</v>
      </c>
      <c r="E21" s="90">
        <f>B21+C21+D21+36.8</f>
        <v>1352.7</v>
      </c>
      <c r="F21" s="90">
        <v>565.5</v>
      </c>
      <c r="G21" s="319">
        <f>E21+F21+1082.7+11</f>
        <v>3011.9</v>
      </c>
      <c r="H21" s="90">
        <v>351.1</v>
      </c>
      <c r="I21" s="90">
        <v>3.6</v>
      </c>
      <c r="J21" s="90"/>
      <c r="K21" s="90">
        <v>351.9</v>
      </c>
      <c r="L21" s="90">
        <f t="shared" si="10"/>
        <v>706.6</v>
      </c>
      <c r="M21" s="90">
        <v>956.2</v>
      </c>
      <c r="N21" s="90"/>
      <c r="O21" s="319">
        <v>237.8</v>
      </c>
      <c r="P21" s="317">
        <f t="shared" si="1"/>
        <v>1111.3000000000002</v>
      </c>
      <c r="Q21" s="317">
        <f t="shared" si="2"/>
        <v>677.90000000000009</v>
      </c>
      <c r="R21" s="317">
        <f t="shared" si="3"/>
        <v>2305.3000000000002</v>
      </c>
      <c r="S21" s="317">
        <f t="shared" si="4"/>
        <v>2027</v>
      </c>
      <c r="T21" s="317">
        <f t="shared" si="5"/>
        <v>367.80000000000018</v>
      </c>
      <c r="U21" s="222">
        <f t="shared" si="6"/>
        <v>2994.8500000000004</v>
      </c>
      <c r="V21" s="222">
        <f t="shared" si="7"/>
        <v>1108.8500000000004</v>
      </c>
      <c r="W21" s="222">
        <f t="shared" si="8"/>
        <v>371.05000000000013</v>
      </c>
      <c r="X21" s="318">
        <f t="shared" si="9"/>
        <v>2290.9500000000003</v>
      </c>
    </row>
    <row r="22" spans="1:26" ht="14.5" x14ac:dyDescent="0.25">
      <c r="A22" s="373" t="s">
        <v>242</v>
      </c>
      <c r="B22" s="90">
        <v>526.1</v>
      </c>
      <c r="C22" s="90">
        <v>595.1</v>
      </c>
      <c r="D22" s="90">
        <v>613.29999999999995</v>
      </c>
      <c r="E22" s="90">
        <f>B22+C22+D22+74.2</f>
        <v>1808.7</v>
      </c>
      <c r="F22" s="90">
        <v>663.9</v>
      </c>
      <c r="G22" s="319">
        <f>E22+F22+1117.8+2.6</f>
        <v>3592.9999999999995</v>
      </c>
      <c r="H22" s="90">
        <v>430.3</v>
      </c>
      <c r="I22" s="90">
        <v>153.80000000000001</v>
      </c>
      <c r="J22" s="90"/>
      <c r="K22" s="90">
        <v>392.1</v>
      </c>
      <c r="L22" s="90">
        <f t="shared" si="10"/>
        <v>976.2</v>
      </c>
      <c r="M22" s="90">
        <v>1097.9000000000001</v>
      </c>
      <c r="N22" s="90"/>
      <c r="O22" s="319">
        <v>296.5</v>
      </c>
      <c r="P22" s="317">
        <f t="shared" si="1"/>
        <v>1222.3999999999992</v>
      </c>
      <c r="Q22" s="317">
        <f t="shared" si="2"/>
        <v>725.6</v>
      </c>
      <c r="R22" s="317">
        <f t="shared" si="3"/>
        <v>2616.7999999999993</v>
      </c>
      <c r="S22" s="317">
        <f t="shared" si="4"/>
        <v>2244.4999999999995</v>
      </c>
      <c r="T22" s="317">
        <f t="shared" si="5"/>
        <v>460.19999999999982</v>
      </c>
      <c r="U22" s="222">
        <f t="shared" si="6"/>
        <v>3302.45</v>
      </c>
      <c r="V22" s="222">
        <f t="shared" si="7"/>
        <v>1166.8499999999997</v>
      </c>
      <c r="W22" s="222">
        <f t="shared" si="8"/>
        <v>414</v>
      </c>
      <c r="X22" s="318">
        <f t="shared" si="9"/>
        <v>2461.0499999999997</v>
      </c>
    </row>
    <row r="23" spans="1:26" ht="14.5" x14ac:dyDescent="0.25">
      <c r="A23" s="398" t="s">
        <v>243</v>
      </c>
      <c r="B23" s="90">
        <v>268.10000000000002</v>
      </c>
      <c r="C23" s="90">
        <v>571.6</v>
      </c>
      <c r="D23" s="90">
        <v>699.5</v>
      </c>
      <c r="E23" s="90">
        <f>B23+C23+D23+51</f>
        <v>1590.2</v>
      </c>
      <c r="F23" s="90">
        <v>728.5</v>
      </c>
      <c r="G23" s="319">
        <f>E23+F23+1126.5+2.4</f>
        <v>3447.6</v>
      </c>
      <c r="H23" s="90">
        <v>465.4</v>
      </c>
      <c r="I23" s="90">
        <v>1.2</v>
      </c>
      <c r="J23" s="90"/>
      <c r="K23" s="90">
        <v>349.1</v>
      </c>
      <c r="L23" s="90">
        <f t="shared" si="10"/>
        <v>815.7</v>
      </c>
      <c r="M23" s="90">
        <v>1167.8</v>
      </c>
      <c r="N23" s="90"/>
      <c r="O23" s="319">
        <v>257.3</v>
      </c>
      <c r="P23" s="317">
        <f t="shared" si="1"/>
        <v>1206.7999999999997</v>
      </c>
      <c r="Q23" s="317">
        <f t="shared" si="2"/>
        <v>900.9</v>
      </c>
      <c r="R23" s="317">
        <f t="shared" si="3"/>
        <v>2631.8999999999996</v>
      </c>
      <c r="S23" s="317">
        <f t="shared" si="4"/>
        <v>2364.9999999999995</v>
      </c>
      <c r="T23" s="317">
        <f t="shared" si="5"/>
        <v>507.59999999999991</v>
      </c>
      <c r="U23" s="222">
        <f t="shared" si="6"/>
        <v>3520.2999999999997</v>
      </c>
      <c r="V23" s="222">
        <f t="shared" si="7"/>
        <v>1214.5999999999995</v>
      </c>
      <c r="W23" s="222">
        <f t="shared" si="8"/>
        <v>483.89999999999986</v>
      </c>
      <c r="X23" s="318">
        <f t="shared" si="9"/>
        <v>2624.3499999999995</v>
      </c>
      <c r="Z23" s="385"/>
    </row>
    <row r="24" spans="1:26" ht="14.5" x14ac:dyDescent="0.25">
      <c r="A24" s="398" t="s">
        <v>244</v>
      </c>
      <c r="B24" s="90">
        <v>247.6</v>
      </c>
      <c r="C24" s="90">
        <v>591.9</v>
      </c>
      <c r="D24" s="90">
        <v>675.7</v>
      </c>
      <c r="E24" s="90">
        <f>B24+C24+D24+61.9</f>
        <v>1577.1000000000001</v>
      </c>
      <c r="F24" s="90">
        <v>830.8</v>
      </c>
      <c r="G24" s="319">
        <f>E24+F24+2442.7+4.8</f>
        <v>4855.4000000000005</v>
      </c>
      <c r="H24" s="90">
        <v>463.4</v>
      </c>
      <c r="I24" s="90">
        <v>51.1</v>
      </c>
      <c r="J24" s="90">
        <v>39.299999999999997</v>
      </c>
      <c r="K24" s="90">
        <v>374.3</v>
      </c>
      <c r="L24" s="90">
        <f t="shared" si="10"/>
        <v>928.09999999999991</v>
      </c>
      <c r="M24" s="90">
        <v>2066.5</v>
      </c>
      <c r="N24" s="90">
        <v>121.6</v>
      </c>
      <c r="O24" s="319">
        <v>397.3</v>
      </c>
      <c r="P24" s="317">
        <f t="shared" ref="P24:P30" si="11">G24-L24-M24-N24-O24</f>
        <v>1341.9000000000008</v>
      </c>
      <c r="Q24" s="317">
        <f t="shared" si="2"/>
        <v>1870</v>
      </c>
      <c r="R24" s="317">
        <f t="shared" ref="R24:R30" si="12">M24+N24+O24+P24</f>
        <v>3927.3000000000011</v>
      </c>
      <c r="S24" s="317">
        <f t="shared" ref="S24:S30" si="13">+R24-B24+I24+J24</f>
        <v>3770.1000000000013</v>
      </c>
      <c r="T24" s="317">
        <f t="shared" ref="T24:T30" si="14">(E24-B24)-(L24-J24-I24)</f>
        <v>491.8000000000003</v>
      </c>
      <c r="U24" s="222">
        <f t="shared" si="6"/>
        <v>4151.5</v>
      </c>
      <c r="V24" s="222">
        <f t="shared" si="7"/>
        <v>1274.3500000000004</v>
      </c>
      <c r="W24" s="222">
        <f t="shared" si="8"/>
        <v>499.7000000000001</v>
      </c>
      <c r="X24" s="318">
        <f t="shared" si="9"/>
        <v>3279.6000000000004</v>
      </c>
    </row>
    <row r="25" spans="1:26" ht="14.5" x14ac:dyDescent="0.25">
      <c r="A25" s="253" t="s">
        <v>245</v>
      </c>
      <c r="B25" s="100">
        <v>348.9</v>
      </c>
      <c r="C25" s="100">
        <v>563.6</v>
      </c>
      <c r="D25" s="100">
        <v>691.5</v>
      </c>
      <c r="E25" s="100">
        <f>B25+C25+D25+54.1</f>
        <v>1658.1</v>
      </c>
      <c r="F25" s="100">
        <v>784.8</v>
      </c>
      <c r="G25" s="326">
        <f>E25+F25+2357.1</f>
        <v>4800</v>
      </c>
      <c r="H25" s="100">
        <v>552.20000000000005</v>
      </c>
      <c r="I25" s="100">
        <v>50.9</v>
      </c>
      <c r="J25" s="100">
        <v>42.4</v>
      </c>
      <c r="K25" s="100">
        <v>360.5</v>
      </c>
      <c r="L25" s="100">
        <f t="shared" si="10"/>
        <v>1006</v>
      </c>
      <c r="M25" s="100">
        <v>1849.3</v>
      </c>
      <c r="N25" s="100">
        <v>122.1</v>
      </c>
      <c r="O25" s="326">
        <v>397.5</v>
      </c>
      <c r="P25" s="335">
        <f t="shared" si="11"/>
        <v>1425.1000000000001</v>
      </c>
      <c r="Q25" s="335">
        <f t="shared" si="2"/>
        <v>1551.3000000000002</v>
      </c>
      <c r="R25" s="335">
        <f t="shared" si="12"/>
        <v>3794</v>
      </c>
      <c r="S25" s="335">
        <f t="shared" si="13"/>
        <v>3538.4</v>
      </c>
      <c r="T25" s="335">
        <f t="shared" si="14"/>
        <v>396.49999999999977</v>
      </c>
      <c r="U25" s="336">
        <f>(G25+G24)/2</f>
        <v>4827.7000000000007</v>
      </c>
      <c r="V25" s="336">
        <f t="shared" si="7"/>
        <v>1383.5000000000005</v>
      </c>
      <c r="W25" s="336">
        <f t="shared" si="8"/>
        <v>444.15000000000003</v>
      </c>
      <c r="X25" s="337">
        <f t="shared" si="9"/>
        <v>3860.6500000000005</v>
      </c>
    </row>
    <row r="26" spans="1:26" ht="15.65" customHeight="1" x14ac:dyDescent="0.25">
      <c r="A26" s="60">
        <v>2021</v>
      </c>
      <c r="B26" s="90">
        <v>361.7</v>
      </c>
      <c r="C26" s="90">
        <v>651.5</v>
      </c>
      <c r="D26" s="90">
        <v>993.2</v>
      </c>
      <c r="E26" s="90">
        <f>B26+C26+D26+58.9</f>
        <v>2065.3000000000002</v>
      </c>
      <c r="F26" s="90">
        <v>781.5</v>
      </c>
      <c r="G26" s="319">
        <f>E26+F26+2460.5</f>
        <v>5307.3</v>
      </c>
      <c r="H26" s="90">
        <v>613.79999999999995</v>
      </c>
      <c r="I26" s="90">
        <v>300.60000000000002</v>
      </c>
      <c r="J26" s="90">
        <v>44.5</v>
      </c>
      <c r="K26" s="90">
        <v>376.8</v>
      </c>
      <c r="L26" s="90">
        <f t="shared" si="10"/>
        <v>1335.7</v>
      </c>
      <c r="M26" s="90">
        <v>1789.7</v>
      </c>
      <c r="N26" s="90">
        <v>153</v>
      </c>
      <c r="O26" s="319">
        <v>380.3</v>
      </c>
      <c r="P26" s="317">
        <f t="shared" si="11"/>
        <v>1648.6000000000006</v>
      </c>
      <c r="Q26" s="317">
        <f t="shared" si="2"/>
        <v>1728.6000000000001</v>
      </c>
      <c r="R26" s="317">
        <f t="shared" si="12"/>
        <v>3971.6000000000004</v>
      </c>
      <c r="S26" s="317">
        <f t="shared" si="13"/>
        <v>3955.0000000000005</v>
      </c>
      <c r="T26" s="317">
        <f t="shared" si="14"/>
        <v>713.00000000000011</v>
      </c>
      <c r="U26" s="222">
        <f>(G26+G25)/2</f>
        <v>5053.6499999999996</v>
      </c>
      <c r="V26" s="222">
        <f t="shared" si="7"/>
        <v>1536.8500000000004</v>
      </c>
      <c r="W26" s="222">
        <f t="shared" si="8"/>
        <v>554.75</v>
      </c>
      <c r="X26" s="318">
        <f t="shared" si="9"/>
        <v>3882.8</v>
      </c>
    </row>
    <row r="27" spans="1:26" ht="15.65" customHeight="1" x14ac:dyDescent="0.25">
      <c r="A27" s="60">
        <v>2022</v>
      </c>
      <c r="B27" s="90">
        <v>316.5</v>
      </c>
      <c r="C27" s="90">
        <v>675</v>
      </c>
      <c r="D27" s="90">
        <v>907.5</v>
      </c>
      <c r="E27" s="90">
        <f>B27+C27+D27+59</f>
        <v>1958</v>
      </c>
      <c r="F27" s="90">
        <v>772.4</v>
      </c>
      <c r="G27" s="319">
        <f>E27+F27+2455.7</f>
        <v>5186.1000000000004</v>
      </c>
      <c r="H27" s="90">
        <v>518.4</v>
      </c>
      <c r="I27" s="90">
        <v>9.4</v>
      </c>
      <c r="J27" s="90">
        <v>49.5</v>
      </c>
      <c r="K27" s="90">
        <v>390.8</v>
      </c>
      <c r="L27" s="90">
        <f t="shared" ref="L27:L28" si="15">SUM(H27:K27)</f>
        <v>968.09999999999991</v>
      </c>
      <c r="M27" s="90">
        <v>2074.1999999999998</v>
      </c>
      <c r="N27" s="90">
        <v>153.6</v>
      </c>
      <c r="O27" s="319">
        <v>348.8</v>
      </c>
      <c r="P27" s="317">
        <f t="shared" si="11"/>
        <v>1641.4000000000003</v>
      </c>
      <c r="Q27" s="317">
        <f>+M27+I27-B27</f>
        <v>1767.1</v>
      </c>
      <c r="R27" s="317">
        <f t="shared" si="12"/>
        <v>4218</v>
      </c>
      <c r="S27" s="317">
        <f t="shared" si="13"/>
        <v>3960.4</v>
      </c>
      <c r="T27" s="317">
        <f t="shared" si="14"/>
        <v>732.30000000000007</v>
      </c>
      <c r="U27" s="222">
        <f>(G27+G26)/2</f>
        <v>5246.7000000000007</v>
      </c>
      <c r="V27" s="222">
        <f t="shared" si="7"/>
        <v>1645.0000000000005</v>
      </c>
      <c r="W27" s="222">
        <f>(T27+T26)/2</f>
        <v>722.65000000000009</v>
      </c>
      <c r="X27" s="318">
        <f t="shared" si="9"/>
        <v>4094.8</v>
      </c>
    </row>
    <row r="28" spans="1:26" ht="15.65" customHeight="1" x14ac:dyDescent="0.25">
      <c r="A28" s="60">
        <v>2023</v>
      </c>
      <c r="B28" s="90">
        <v>365.5</v>
      </c>
      <c r="C28" s="90">
        <v>637.29999999999995</v>
      </c>
      <c r="D28" s="90">
        <v>819.7</v>
      </c>
      <c r="E28" s="90">
        <f>B28+C28+D28+58.9</f>
        <v>1881.4</v>
      </c>
      <c r="F28" s="90">
        <v>781.2</v>
      </c>
      <c r="G28" s="319">
        <f>E28+F28+1971.9</f>
        <v>4634.5</v>
      </c>
      <c r="H28" s="90">
        <v>536.20000000000005</v>
      </c>
      <c r="I28" s="90">
        <v>308</v>
      </c>
      <c r="J28" s="90">
        <v>57.3</v>
      </c>
      <c r="K28" s="90">
        <v>361.1</v>
      </c>
      <c r="L28" s="90">
        <f t="shared" si="15"/>
        <v>1262.5999999999999</v>
      </c>
      <c r="M28" s="90">
        <v>1679.6</v>
      </c>
      <c r="N28" s="90">
        <v>150.5</v>
      </c>
      <c r="O28" s="90">
        <v>207.8</v>
      </c>
      <c r="P28" s="317">
        <f t="shared" si="11"/>
        <v>1334.0000000000002</v>
      </c>
      <c r="Q28" s="317">
        <f>+M28+I28-B28</f>
        <v>1622.1</v>
      </c>
      <c r="R28" s="317">
        <f t="shared" si="12"/>
        <v>3371.9</v>
      </c>
      <c r="S28" s="317">
        <f t="shared" si="13"/>
        <v>3371.7000000000003</v>
      </c>
      <c r="T28" s="317">
        <f t="shared" si="14"/>
        <v>618.60000000000014</v>
      </c>
      <c r="U28" s="222">
        <f>(G28+G27)/2</f>
        <v>4910.3</v>
      </c>
      <c r="V28" s="222">
        <f t="shared" si="7"/>
        <v>1487.7000000000003</v>
      </c>
      <c r="W28" s="222">
        <f>(T28+T27)/2</f>
        <v>675.45</v>
      </c>
      <c r="X28" s="318">
        <f t="shared" si="9"/>
        <v>3794.95</v>
      </c>
    </row>
    <row r="29" spans="1:26" ht="15.65" customHeight="1" x14ac:dyDescent="0.25">
      <c r="A29" s="60">
        <v>2024</v>
      </c>
      <c r="B29" s="90">
        <v>350.2</v>
      </c>
      <c r="C29" s="90">
        <v>559.4</v>
      </c>
      <c r="D29" s="90">
        <v>722.6</v>
      </c>
      <c r="E29" s="90">
        <f>B29+C29+D29+58.3</f>
        <v>1690.4999999999998</v>
      </c>
      <c r="F29" s="90">
        <v>724.4</v>
      </c>
      <c r="G29" s="444">
        <f>E29+F29+1246.7</f>
        <v>3661.5999999999995</v>
      </c>
      <c r="H29" s="90">
        <v>497.7</v>
      </c>
      <c r="I29" s="90">
        <v>1.3</v>
      </c>
      <c r="J29" s="90">
        <v>53.4</v>
      </c>
      <c r="K29" s="90">
        <v>294</v>
      </c>
      <c r="L29" s="90">
        <f>SUM(H29:K29)</f>
        <v>846.4</v>
      </c>
      <c r="M29" s="90">
        <v>1862.8</v>
      </c>
      <c r="N29" s="90">
        <v>131.1</v>
      </c>
      <c r="O29" s="90">
        <v>131.1</v>
      </c>
      <c r="P29" s="446">
        <f t="shared" si="11"/>
        <v>690.19999999999936</v>
      </c>
      <c r="Q29" s="446">
        <f>+M29+I29-B29</f>
        <v>1513.8999999999999</v>
      </c>
      <c r="R29" s="446">
        <f t="shared" si="12"/>
        <v>2815.1999999999994</v>
      </c>
      <c r="S29" s="446">
        <f t="shared" si="13"/>
        <v>2519.6999999999998</v>
      </c>
      <c r="T29" s="446">
        <f t="shared" si="14"/>
        <v>548.59999999999968</v>
      </c>
      <c r="U29" s="222">
        <f>(G29+G28)/2</f>
        <v>4148.0499999999993</v>
      </c>
      <c r="V29" s="222">
        <f>(P29+P28)/2</f>
        <v>1012.0999999999998</v>
      </c>
      <c r="W29" s="222">
        <f>(T29+T28)/2</f>
        <v>583.59999999999991</v>
      </c>
      <c r="X29" s="447">
        <f>(R29+R28)/2</f>
        <v>3093.5499999999997</v>
      </c>
    </row>
    <row r="30" spans="1:26" ht="15.65" customHeight="1" x14ac:dyDescent="0.25">
      <c r="A30" s="481" t="s">
        <v>360</v>
      </c>
      <c r="B30" s="476">
        <v>587.4</v>
      </c>
      <c r="C30" s="476">
        <v>475.9</v>
      </c>
      <c r="D30" s="476">
        <v>622.6</v>
      </c>
      <c r="E30" s="476">
        <f>B30+C30+D30+57.7</f>
        <v>1743.6000000000001</v>
      </c>
      <c r="F30" s="476">
        <v>664</v>
      </c>
      <c r="G30" s="444">
        <f>E30+F30+1128.8</f>
        <v>3536.4000000000005</v>
      </c>
      <c r="H30" s="476">
        <v>466.6</v>
      </c>
      <c r="I30" s="476">
        <v>1.5</v>
      </c>
      <c r="J30" s="476">
        <v>51.5</v>
      </c>
      <c r="K30" s="476">
        <v>255.4</v>
      </c>
      <c r="L30" s="476">
        <f>SUM(H30:K30)</f>
        <v>775</v>
      </c>
      <c r="M30" s="476">
        <v>1496.2</v>
      </c>
      <c r="N30" s="476">
        <v>106.7</v>
      </c>
      <c r="O30" s="476">
        <v>135.9</v>
      </c>
      <c r="P30" s="446">
        <f t="shared" si="11"/>
        <v>1022.6000000000005</v>
      </c>
      <c r="Q30" s="446">
        <f>+M30+I30-B30</f>
        <v>910.30000000000007</v>
      </c>
      <c r="R30" s="446">
        <f t="shared" si="12"/>
        <v>2761.4000000000005</v>
      </c>
      <c r="S30" s="446">
        <f t="shared" si="13"/>
        <v>2227.0000000000005</v>
      </c>
      <c r="T30" s="446">
        <f t="shared" si="14"/>
        <v>434.20000000000027</v>
      </c>
      <c r="U30" s="482">
        <f t="shared" ref="U30" si="16">(G30+G29)/2</f>
        <v>3599</v>
      </c>
      <c r="V30" s="482">
        <f>(P30+P29)/2</f>
        <v>856.39999999999986</v>
      </c>
      <c r="W30" s="482">
        <f>(T30+T29)/2</f>
        <v>491.4</v>
      </c>
      <c r="X30" s="447">
        <f>(R30+R29)/2</f>
        <v>2788.3</v>
      </c>
    </row>
    <row r="31" spans="1:26" ht="6" customHeight="1" x14ac:dyDescent="0.25">
      <c r="A31" s="14"/>
    </row>
    <row r="32" spans="1:26" ht="17.5" x14ac:dyDescent="0.35">
      <c r="A32" s="359" t="s">
        <v>201</v>
      </c>
      <c r="O32" s="220"/>
      <c r="P32" s="299"/>
      <c r="Q32" s="220"/>
    </row>
    <row r="33" spans="1:24" ht="14.5" x14ac:dyDescent="0.25">
      <c r="A33" s="14" t="s">
        <v>274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  <c r="Q33" s="16"/>
    </row>
    <row r="34" spans="1:24" ht="14.5" x14ac:dyDescent="0.25">
      <c r="A34" s="14" t="s">
        <v>276</v>
      </c>
      <c r="O34" s="220"/>
      <c r="P34" s="298"/>
      <c r="Q34" s="220"/>
    </row>
    <row r="35" spans="1:24" ht="14.5" x14ac:dyDescent="0.25">
      <c r="A35" s="14" t="s">
        <v>224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6"/>
      <c r="Q35" s="16"/>
    </row>
    <row r="36" spans="1:24" ht="14.5" x14ac:dyDescent="0.25">
      <c r="A36" s="14" t="s">
        <v>278</v>
      </c>
    </row>
    <row r="37" spans="1:24" ht="14.5" x14ac:dyDescent="0.25">
      <c r="A37" s="14" t="s">
        <v>183</v>
      </c>
      <c r="B37" s="15"/>
      <c r="C37" s="15"/>
      <c r="D37" s="15"/>
      <c r="E37" s="15"/>
      <c r="F37" s="15"/>
      <c r="G37" s="15"/>
      <c r="H37" s="15"/>
      <c r="I37" s="15"/>
      <c r="J37" s="15"/>
      <c r="K37" s="223"/>
      <c r="L37" s="15"/>
      <c r="M37" s="15"/>
      <c r="N37" s="15"/>
      <c r="O37" s="15"/>
      <c r="P37" s="16"/>
      <c r="Q37" s="16"/>
    </row>
    <row r="38" spans="1:24" ht="14.5" x14ac:dyDescent="0.25">
      <c r="A38" s="14" t="s">
        <v>178</v>
      </c>
      <c r="X38" s="34"/>
    </row>
    <row r="39" spans="1:24" ht="15" thickBot="1" x14ac:dyDescent="0.3">
      <c r="A39" s="14" t="s">
        <v>184</v>
      </c>
      <c r="X39" s="34"/>
    </row>
    <row r="40" spans="1:24" ht="14.5" x14ac:dyDescent="0.25">
      <c r="A40" s="14" t="s">
        <v>185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6"/>
      <c r="Q40" s="16"/>
    </row>
    <row r="41" spans="1:24" ht="14.5" x14ac:dyDescent="0.25">
      <c r="A41" s="14" t="s">
        <v>189</v>
      </c>
    </row>
    <row r="42" spans="1:24" ht="14.5" x14ac:dyDescent="0.25">
      <c r="A42" s="14" t="s">
        <v>193</v>
      </c>
    </row>
    <row r="43" spans="1:24" ht="14.5" x14ac:dyDescent="0.25">
      <c r="A43" s="574" t="s">
        <v>253</v>
      </c>
      <c r="B43" s="574"/>
      <c r="C43" s="574"/>
      <c r="D43" s="574"/>
      <c r="E43" s="574"/>
      <c r="F43" s="574"/>
      <c r="G43" s="574"/>
      <c r="H43" s="574"/>
      <c r="I43" s="574"/>
      <c r="J43" s="574"/>
      <c r="K43" s="574"/>
      <c r="L43" s="574"/>
      <c r="M43" s="574"/>
      <c r="N43" s="574"/>
      <c r="O43" s="574"/>
      <c r="P43" s="574"/>
      <c r="Q43" s="574"/>
      <c r="R43" s="574"/>
      <c r="S43" s="574"/>
      <c r="T43" s="574"/>
      <c r="U43" s="574"/>
      <c r="V43" s="574"/>
      <c r="W43" s="574"/>
      <c r="X43" s="574"/>
    </row>
    <row r="44" spans="1:24" ht="14.5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6"/>
      <c r="Q44" s="16"/>
    </row>
    <row r="45" spans="1:24" x14ac:dyDescent="0.25">
      <c r="A45" s="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6"/>
      <c r="Q45" s="16"/>
    </row>
    <row r="46" spans="1:24" x14ac:dyDescent="0.25">
      <c r="A46" s="4"/>
      <c r="B46" s="18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6"/>
      <c r="Q46" s="16"/>
    </row>
    <row r="47" spans="1:24" x14ac:dyDescent="0.25">
      <c r="A47" s="19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6"/>
      <c r="Q47" s="16"/>
    </row>
    <row r="48" spans="1:24" x14ac:dyDescent="0.25">
      <c r="A48" s="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6"/>
      <c r="Q48" s="16"/>
    </row>
    <row r="49" spans="1:17" x14ac:dyDescent="0.25">
      <c r="A49" s="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0"/>
      <c r="Q49" s="20"/>
    </row>
    <row r="50" spans="1:17" x14ac:dyDescent="0.25">
      <c r="A50" s="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6"/>
      <c r="Q50" s="16"/>
    </row>
    <row r="51" spans="1:17" x14ac:dyDescent="0.25">
      <c r="A51" s="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6"/>
      <c r="Q51" s="16"/>
    </row>
    <row r="52" spans="1:17" x14ac:dyDescent="0.25">
      <c r="A52" s="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6"/>
      <c r="Q52" s="16"/>
    </row>
    <row r="53" spans="1:17" x14ac:dyDescent="0.25">
      <c r="A53" s="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6"/>
      <c r="Q53" s="16"/>
    </row>
  </sheetData>
  <mergeCells count="28">
    <mergeCell ref="U4:X4"/>
    <mergeCell ref="B5:B7"/>
    <mergeCell ref="C5:C7"/>
    <mergeCell ref="D5:D7"/>
    <mergeCell ref="E5:E7"/>
    <mergeCell ref="F5:F7"/>
    <mergeCell ref="G5:G7"/>
    <mergeCell ref="L5:L7"/>
    <mergeCell ref="M5:M7"/>
    <mergeCell ref="I5:I7"/>
    <mergeCell ref="J5:J7"/>
    <mergeCell ref="K5:K7"/>
    <mergeCell ref="A4:A7"/>
    <mergeCell ref="B4:G4"/>
    <mergeCell ref="H4:O4"/>
    <mergeCell ref="A43:X43"/>
    <mergeCell ref="T5:T7"/>
    <mergeCell ref="U5:U7"/>
    <mergeCell ref="V5:V7"/>
    <mergeCell ref="W5:W7"/>
    <mergeCell ref="X5:X7"/>
    <mergeCell ref="N5:N7"/>
    <mergeCell ref="O5:O7"/>
    <mergeCell ref="P5:P7"/>
    <mergeCell ref="Q5:Q7"/>
    <mergeCell ref="R5:R7"/>
    <mergeCell ref="S5:S7"/>
    <mergeCell ref="H5:H7"/>
  </mergeCells>
  <printOptions horizontalCentered="1" verticalCentered="1"/>
  <pageMargins left="0.3" right="0.3" top="0.25" bottom="0.25" header="0.4" footer="0.4"/>
  <pageSetup scale="66" fitToHeight="2" orientation="landscape" r:id="rId1"/>
  <headerFooter alignWithMargins="0"/>
  <rowBreaks count="1" manualBreakCount="1">
    <brk id="8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AC53"/>
  <sheetViews>
    <sheetView zoomScaleNormal="100" zoomScaleSheetLayoutView="90" workbookViewId="0">
      <pane xSplit="1" ySplit="7" topLeftCell="B20" activePane="bottomRight" state="frozen"/>
      <selection activeCell="D44" sqref="D44"/>
      <selection pane="topRight" activeCell="D44" sqref="D44"/>
      <selection pane="bottomLeft" activeCell="D44" sqref="D44"/>
      <selection pane="bottomRight" activeCell="E45" sqref="E45"/>
    </sheetView>
  </sheetViews>
  <sheetFormatPr defaultRowHeight="12.5" x14ac:dyDescent="0.25"/>
  <cols>
    <col min="1" max="1" width="10.1796875" customWidth="1"/>
    <col min="2" max="2" width="9.54296875" customWidth="1"/>
    <col min="3" max="3" width="8.81640625" bestFit="1" customWidth="1"/>
    <col min="4" max="4" width="10.453125" customWidth="1"/>
    <col min="5" max="5" width="8.453125" bestFit="1" customWidth="1"/>
    <col min="6" max="6" width="10.7265625" bestFit="1" customWidth="1"/>
    <col min="7" max="9" width="9.26953125" bestFit="1" customWidth="1"/>
    <col min="10" max="10" width="8.81640625" bestFit="1" customWidth="1"/>
    <col min="11" max="11" width="8.7265625" bestFit="1" customWidth="1"/>
    <col min="12" max="12" width="6.81640625" customWidth="1"/>
    <col min="13" max="13" width="8.7265625" bestFit="1" customWidth="1"/>
    <col min="14" max="14" width="9" bestFit="1" customWidth="1"/>
    <col min="15" max="15" width="9.26953125" bestFit="1" customWidth="1"/>
    <col min="16" max="17" width="8.7265625" bestFit="1" customWidth="1"/>
    <col min="18" max="18" width="7.1796875" customWidth="1"/>
    <col min="19" max="19" width="9.26953125" bestFit="1" customWidth="1"/>
    <col min="20" max="20" width="8.7265625" bestFit="1" customWidth="1"/>
    <col min="21" max="21" width="7.1796875" customWidth="1"/>
    <col min="22" max="22" width="8.7265625" style="34" bestFit="1" customWidth="1"/>
    <col min="23" max="23" width="9.26953125" bestFit="1" customWidth="1"/>
    <col min="24" max="24" width="10.453125" bestFit="1" customWidth="1"/>
    <col min="25" max="25" width="8.81640625" bestFit="1" customWidth="1"/>
    <col min="27" max="27" width="7.54296875" customWidth="1"/>
  </cols>
  <sheetData>
    <row r="1" spans="1:27" s="220" customFormat="1" ht="30" x14ac:dyDescent="0.6">
      <c r="A1" s="420" t="s">
        <v>366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424"/>
      <c r="W1" s="219"/>
      <c r="X1" s="219"/>
      <c r="Y1" s="219"/>
      <c r="Z1" s="219"/>
      <c r="AA1" s="219"/>
    </row>
    <row r="2" spans="1:27" s="220" customFormat="1" ht="23" x14ac:dyDescent="0.5">
      <c r="A2" s="425" t="s">
        <v>354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424"/>
      <c r="W2" s="219"/>
      <c r="X2" s="219"/>
      <c r="Y2" s="219"/>
      <c r="Z2" s="219"/>
      <c r="AA2" s="219"/>
    </row>
    <row r="4" spans="1:27" ht="18.75" customHeight="1" x14ac:dyDescent="0.35">
      <c r="A4" s="590" t="s">
        <v>102</v>
      </c>
      <c r="B4" s="595" t="s">
        <v>30</v>
      </c>
      <c r="C4" s="596"/>
      <c r="D4" s="597"/>
      <c r="E4" s="595" t="s">
        <v>121</v>
      </c>
      <c r="F4" s="597"/>
      <c r="G4" s="595" t="s">
        <v>186</v>
      </c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6"/>
      <c r="Z4" s="596"/>
      <c r="AA4" s="597"/>
    </row>
    <row r="5" spans="1:27" ht="13.5" customHeight="1" x14ac:dyDescent="0.3">
      <c r="A5" s="594"/>
      <c r="B5" s="522" t="s">
        <v>159</v>
      </c>
      <c r="C5" s="8"/>
      <c r="D5" s="514" t="s">
        <v>31</v>
      </c>
      <c r="E5" s="582" t="s">
        <v>99</v>
      </c>
      <c r="F5" s="584"/>
      <c r="G5" s="527" t="s">
        <v>16</v>
      </c>
      <c r="H5" s="528"/>
      <c r="I5" s="530"/>
      <c r="J5" s="598" t="s">
        <v>32</v>
      </c>
      <c r="K5" s="593"/>
      <c r="L5" s="599"/>
      <c r="M5" s="598" t="s">
        <v>33</v>
      </c>
      <c r="N5" s="593"/>
      <c r="O5" s="599"/>
      <c r="P5" s="527" t="s">
        <v>34</v>
      </c>
      <c r="Q5" s="528"/>
      <c r="R5" s="530"/>
      <c r="S5" s="527" t="s">
        <v>75</v>
      </c>
      <c r="T5" s="528"/>
      <c r="U5" s="530"/>
      <c r="V5" s="598" t="s">
        <v>35</v>
      </c>
      <c r="W5" s="593"/>
      <c r="X5" s="599"/>
      <c r="Y5" s="527" t="s">
        <v>206</v>
      </c>
      <c r="Z5" s="528"/>
      <c r="AA5" s="530"/>
    </row>
    <row r="6" spans="1:27" ht="13.5" customHeight="1" x14ac:dyDescent="0.3">
      <c r="A6" s="591"/>
      <c r="B6" s="580"/>
      <c r="C6" s="29" t="s">
        <v>32</v>
      </c>
      <c r="D6" s="585"/>
      <c r="E6" s="73" t="s">
        <v>98</v>
      </c>
      <c r="F6" s="81" t="s">
        <v>100</v>
      </c>
      <c r="G6" s="72" t="s">
        <v>119</v>
      </c>
      <c r="H6" s="72" t="s">
        <v>120</v>
      </c>
      <c r="I6" s="41" t="s">
        <v>55</v>
      </c>
      <c r="J6" s="72" t="s">
        <v>119</v>
      </c>
      <c r="K6" s="72" t="s">
        <v>120</v>
      </c>
      <c r="L6" s="41" t="s">
        <v>55</v>
      </c>
      <c r="M6" s="72" t="s">
        <v>119</v>
      </c>
      <c r="N6" s="72" t="s">
        <v>120</v>
      </c>
      <c r="O6" s="41" t="s">
        <v>55</v>
      </c>
      <c r="P6" s="72" t="s">
        <v>119</v>
      </c>
      <c r="Q6" s="72" t="s">
        <v>120</v>
      </c>
      <c r="R6" s="41" t="s">
        <v>55</v>
      </c>
      <c r="S6" s="72" t="s">
        <v>119</v>
      </c>
      <c r="T6" s="72" t="s">
        <v>120</v>
      </c>
      <c r="U6" s="41" t="s">
        <v>55</v>
      </c>
      <c r="V6" s="72" t="s">
        <v>119</v>
      </c>
      <c r="W6" s="72" t="s">
        <v>120</v>
      </c>
      <c r="X6" s="41" t="s">
        <v>55</v>
      </c>
      <c r="Y6" s="72" t="s">
        <v>119</v>
      </c>
      <c r="Z6" s="80" t="s">
        <v>120</v>
      </c>
      <c r="AA6" s="41" t="s">
        <v>55</v>
      </c>
    </row>
    <row r="7" spans="1:27" ht="12.75" hidden="1" customHeight="1" x14ac:dyDescent="0.3">
      <c r="A7" s="8"/>
      <c r="B7" s="35"/>
      <c r="C7" s="36"/>
      <c r="D7" s="23"/>
      <c r="E7" s="22"/>
      <c r="F7" s="22"/>
      <c r="G7" s="24"/>
      <c r="H7" s="32"/>
      <c r="I7" s="32"/>
      <c r="J7" s="24"/>
      <c r="K7" s="37"/>
      <c r="L7" s="32"/>
      <c r="M7" s="24"/>
      <c r="N7" s="37"/>
      <c r="O7" s="32"/>
      <c r="P7" s="24"/>
      <c r="Q7" s="37"/>
      <c r="R7" s="32"/>
      <c r="S7" s="32"/>
      <c r="T7" s="32"/>
      <c r="U7" s="32"/>
      <c r="V7" s="38"/>
      <c r="W7" s="37"/>
      <c r="X7" s="32"/>
      <c r="Y7" s="24"/>
      <c r="Z7" s="32"/>
      <c r="AA7" s="32"/>
    </row>
    <row r="8" spans="1:27" ht="15.5" x14ac:dyDescent="0.35">
      <c r="A8" s="140">
        <v>1967</v>
      </c>
      <c r="B8" s="141">
        <v>16.25534468531993</v>
      </c>
      <c r="C8" s="142">
        <v>6.00855149651189</v>
      </c>
      <c r="D8" s="143">
        <v>3.0830395319180854</v>
      </c>
      <c r="E8" s="142"/>
      <c r="F8" s="144"/>
      <c r="G8" s="148">
        <v>0.2</v>
      </c>
      <c r="H8" s="144">
        <v>10.7</v>
      </c>
      <c r="I8" s="145"/>
      <c r="J8" s="146">
        <v>10.5</v>
      </c>
      <c r="K8" s="144"/>
      <c r="L8" s="145"/>
      <c r="M8" s="146">
        <v>17.2</v>
      </c>
      <c r="N8" s="147">
        <v>51.3</v>
      </c>
      <c r="O8" s="145"/>
      <c r="P8" s="146">
        <v>0</v>
      </c>
      <c r="Q8" s="147">
        <v>26.6</v>
      </c>
      <c r="R8" s="145"/>
      <c r="S8" s="144"/>
      <c r="T8" s="147"/>
      <c r="U8" s="145"/>
      <c r="V8" s="148">
        <v>120</v>
      </c>
      <c r="W8" s="144">
        <v>22.4</v>
      </c>
      <c r="X8" s="145"/>
      <c r="Y8" s="146"/>
      <c r="Z8" s="149"/>
      <c r="AA8" s="145"/>
    </row>
    <row r="9" spans="1:27" ht="15.5" x14ac:dyDescent="0.35">
      <c r="A9" s="150">
        <v>1968</v>
      </c>
      <c r="B9" s="141">
        <v>19.161953134018237</v>
      </c>
      <c r="C9" s="142">
        <v>7.5435761283619991</v>
      </c>
      <c r="D9" s="143">
        <v>3.3648851437146479</v>
      </c>
      <c r="E9" s="142"/>
      <c r="F9" s="144"/>
      <c r="G9" s="148">
        <v>29.96774435526217</v>
      </c>
      <c r="H9" s="144">
        <v>16.100000000000001</v>
      </c>
      <c r="I9" s="145"/>
      <c r="J9" s="146">
        <v>63.171036204744048</v>
      </c>
      <c r="K9" s="144"/>
      <c r="L9" s="145"/>
      <c r="M9" s="146">
        <v>41.849148418491481</v>
      </c>
      <c r="N9" s="147">
        <v>41.4</v>
      </c>
      <c r="O9" s="145"/>
      <c r="P9" s="146">
        <v>30.769230769230795</v>
      </c>
      <c r="Q9" s="147">
        <v>16.3</v>
      </c>
      <c r="R9" s="145"/>
      <c r="S9" s="144"/>
      <c r="T9" s="147"/>
      <c r="U9" s="145"/>
      <c r="V9" s="148">
        <v>12.72727272727272</v>
      </c>
      <c r="W9" s="144">
        <v>15.6</v>
      </c>
      <c r="X9" s="145"/>
      <c r="Y9" s="146">
        <v>268.42105263157896</v>
      </c>
      <c r="Z9" s="149"/>
      <c r="AA9" s="145"/>
    </row>
    <row r="10" spans="1:27" ht="15.5" x14ac:dyDescent="0.35">
      <c r="A10" s="150">
        <v>1969</v>
      </c>
      <c r="B10" s="141">
        <v>18.509395733185013</v>
      </c>
      <c r="C10" s="142">
        <v>6.8135711731754798</v>
      </c>
      <c r="D10" s="143">
        <v>2.9597552739263437</v>
      </c>
      <c r="E10" s="142"/>
      <c r="F10" s="144"/>
      <c r="G10" s="148">
        <v>45.278771788064162</v>
      </c>
      <c r="H10" s="144">
        <v>22.1</v>
      </c>
      <c r="I10" s="145"/>
      <c r="J10" s="146">
        <v>31.219892884468248</v>
      </c>
      <c r="K10" s="144"/>
      <c r="L10" s="145"/>
      <c r="M10" s="146">
        <v>27.787307032590071</v>
      </c>
      <c r="N10" s="147">
        <v>25.6</v>
      </c>
      <c r="O10" s="145"/>
      <c r="P10" s="146">
        <v>0</v>
      </c>
      <c r="Q10" s="147">
        <v>-1.1000000000000001</v>
      </c>
      <c r="R10" s="145"/>
      <c r="S10" s="151"/>
      <c r="T10" s="147"/>
      <c r="U10" s="145"/>
      <c r="V10" s="148">
        <v>6.4516129032258007</v>
      </c>
      <c r="W10" s="144">
        <v>17.100000000000001</v>
      </c>
      <c r="X10" s="145"/>
      <c r="Y10" s="146">
        <v>39.285714285714278</v>
      </c>
      <c r="Z10" s="149"/>
      <c r="AA10" s="145"/>
    </row>
    <row r="11" spans="1:27" ht="15.5" x14ac:dyDescent="0.35">
      <c r="A11" s="152">
        <v>1970</v>
      </c>
      <c r="B11" s="153">
        <v>20.813428874734608</v>
      </c>
      <c r="C11" s="154">
        <v>7.484076433121019</v>
      </c>
      <c r="D11" s="155">
        <v>3.1747611464968157</v>
      </c>
      <c r="E11" s="154"/>
      <c r="F11" s="156"/>
      <c r="G11" s="161">
        <v>19.756863056692218</v>
      </c>
      <c r="H11" s="156">
        <v>20.3</v>
      </c>
      <c r="I11" s="157"/>
      <c r="J11" s="158">
        <v>31.541814670644008</v>
      </c>
      <c r="K11" s="159">
        <v>35.4</v>
      </c>
      <c r="L11" s="157"/>
      <c r="M11" s="158">
        <v>28.456375838926174</v>
      </c>
      <c r="N11" s="159">
        <v>29.7</v>
      </c>
      <c r="O11" s="157"/>
      <c r="P11" s="158">
        <v>5.8823529411764497</v>
      </c>
      <c r="Q11" s="159">
        <v>-1.1000000000000001</v>
      </c>
      <c r="R11" s="157"/>
      <c r="S11" s="160"/>
      <c r="T11" s="159"/>
      <c r="U11" s="157"/>
      <c r="V11" s="161">
        <v>1.5151515151515138</v>
      </c>
      <c r="W11" s="156">
        <v>10.9</v>
      </c>
      <c r="X11" s="157"/>
      <c r="Y11" s="158">
        <v>-38.461538461538467</v>
      </c>
      <c r="Z11" s="162"/>
      <c r="AA11" s="157"/>
    </row>
    <row r="12" spans="1:27" ht="15.5" x14ac:dyDescent="0.35">
      <c r="A12" s="150">
        <v>1971</v>
      </c>
      <c r="B12" s="141">
        <v>20.978888828896928</v>
      </c>
      <c r="C12" s="142">
        <v>8.1502078721451312</v>
      </c>
      <c r="D12" s="143">
        <v>3.2476648129150694</v>
      </c>
      <c r="E12" s="142"/>
      <c r="F12" s="144"/>
      <c r="G12" s="148">
        <v>22.883492569002129</v>
      </c>
      <c r="H12" s="144">
        <v>22.7</v>
      </c>
      <c r="I12" s="145"/>
      <c r="J12" s="146">
        <v>33.820921985815609</v>
      </c>
      <c r="K12" s="147">
        <v>33</v>
      </c>
      <c r="L12" s="145"/>
      <c r="M12" s="146">
        <v>25.705329153605039</v>
      </c>
      <c r="N12" s="147">
        <v>28</v>
      </c>
      <c r="O12" s="145"/>
      <c r="P12" s="146">
        <v>16.666666666666675</v>
      </c>
      <c r="Q12" s="147">
        <v>10.1</v>
      </c>
      <c r="R12" s="145"/>
      <c r="S12" s="144"/>
      <c r="T12" s="147"/>
      <c r="U12" s="145"/>
      <c r="V12" s="163">
        <v>0</v>
      </c>
      <c r="W12" s="144">
        <v>21.8</v>
      </c>
      <c r="X12" s="145"/>
      <c r="Y12" s="146">
        <v>33.33333333333335</v>
      </c>
      <c r="Z12" s="164"/>
      <c r="AA12" s="145"/>
    </row>
    <row r="13" spans="1:27" ht="15.5" x14ac:dyDescent="0.35">
      <c r="A13" s="150">
        <v>1972</v>
      </c>
      <c r="B13" s="141">
        <v>22.843759082283349</v>
      </c>
      <c r="C13" s="142">
        <v>9.1815071888943969</v>
      </c>
      <c r="D13" s="143">
        <v>4.2090506556340079</v>
      </c>
      <c r="E13" s="142"/>
      <c r="F13" s="142"/>
      <c r="G13" s="141">
        <v>57.909940068030878</v>
      </c>
      <c r="H13" s="142">
        <v>34.415153871551873</v>
      </c>
      <c r="I13" s="143"/>
      <c r="J13" s="146">
        <v>77.891321629678686</v>
      </c>
      <c r="K13" s="147">
        <v>46.311031367029365</v>
      </c>
      <c r="L13" s="143"/>
      <c r="M13" s="146">
        <v>104.65502909393183</v>
      </c>
      <c r="N13" s="147">
        <v>43.05045560662213</v>
      </c>
      <c r="O13" s="143"/>
      <c r="P13" s="146">
        <v>42.85714285714284</v>
      </c>
      <c r="Q13" s="147">
        <v>18.204927370905001</v>
      </c>
      <c r="R13" s="143"/>
      <c r="S13" s="142"/>
      <c r="T13" s="147"/>
      <c r="U13" s="143"/>
      <c r="V13" s="141">
        <v>2.9850746268656581</v>
      </c>
      <c r="W13" s="142">
        <v>4.6398913996584357</v>
      </c>
      <c r="X13" s="143"/>
      <c r="Y13" s="146">
        <v>100</v>
      </c>
      <c r="Z13" s="142">
        <v>53.134581622349188</v>
      </c>
      <c r="AA13" s="143"/>
    </row>
    <row r="14" spans="1:27" ht="15.5" x14ac:dyDescent="0.35">
      <c r="A14" s="150">
        <v>1973</v>
      </c>
      <c r="B14" s="141">
        <v>23.808596839146887</v>
      </c>
      <c r="C14" s="142">
        <v>10.222250069957298</v>
      </c>
      <c r="D14" s="143">
        <v>4.494300001216649</v>
      </c>
      <c r="E14" s="142"/>
      <c r="F14" s="142"/>
      <c r="G14" s="141">
        <v>40.517668780879745</v>
      </c>
      <c r="H14" s="142">
        <v>36.529752970332297</v>
      </c>
      <c r="I14" s="143"/>
      <c r="J14" s="146">
        <v>56.445637951795916</v>
      </c>
      <c r="K14" s="147">
        <v>45.084544019295848</v>
      </c>
      <c r="L14" s="143"/>
      <c r="M14" s="146">
        <v>50.040617384240434</v>
      </c>
      <c r="N14" s="147">
        <v>44.665731462986223</v>
      </c>
      <c r="O14" s="143"/>
      <c r="P14" s="146">
        <v>33.33333333333335</v>
      </c>
      <c r="Q14" s="147">
        <v>18.664882623542333</v>
      </c>
      <c r="R14" s="143"/>
      <c r="S14" s="142"/>
      <c r="T14" s="147"/>
      <c r="U14" s="143"/>
      <c r="V14" s="141">
        <v>4.3478260869565188</v>
      </c>
      <c r="W14" s="142">
        <v>3.0358033101851145</v>
      </c>
      <c r="X14" s="143"/>
      <c r="Y14" s="146">
        <v>-57.8125</v>
      </c>
      <c r="Z14" s="147">
        <v>-0.72471407402715515</v>
      </c>
      <c r="AA14" s="143"/>
    </row>
    <row r="15" spans="1:27" ht="15.5" x14ac:dyDescent="0.35">
      <c r="A15" s="150">
        <v>1974</v>
      </c>
      <c r="B15" s="141">
        <v>22.7214935051175</v>
      </c>
      <c r="C15" s="142">
        <v>9.8885380686995408</v>
      </c>
      <c r="D15" s="143">
        <v>3.473119874552351</v>
      </c>
      <c r="E15" s="142"/>
      <c r="F15" s="142"/>
      <c r="G15" s="141">
        <v>14.829730025671296</v>
      </c>
      <c r="H15" s="142">
        <v>30.256001161654879</v>
      </c>
      <c r="I15" s="143"/>
      <c r="J15" s="146">
        <v>11.081038813021781</v>
      </c>
      <c r="K15" s="147">
        <v>40.329571754003183</v>
      </c>
      <c r="L15" s="143"/>
      <c r="M15" s="146">
        <v>-11.261505143475903</v>
      </c>
      <c r="N15" s="147">
        <v>34.49016775452187</v>
      </c>
      <c r="O15" s="143"/>
      <c r="P15" s="146">
        <v>-12.5</v>
      </c>
      <c r="Q15" s="147">
        <v>15.537728404441831</v>
      </c>
      <c r="R15" s="143"/>
      <c r="S15" s="142"/>
      <c r="T15" s="147"/>
      <c r="U15" s="143"/>
      <c r="V15" s="141">
        <v>12.5</v>
      </c>
      <c r="W15" s="142">
        <v>4.1809268102644292</v>
      </c>
      <c r="X15" s="143"/>
      <c r="Y15" s="146">
        <v>-44.44444444444445</v>
      </c>
      <c r="Z15" s="147">
        <v>-17.395191180786675</v>
      </c>
      <c r="AA15" s="143"/>
    </row>
    <row r="16" spans="1:27" ht="15.5" x14ac:dyDescent="0.35">
      <c r="A16" s="152">
        <v>1975</v>
      </c>
      <c r="B16" s="153">
        <v>22.368916238620763</v>
      </c>
      <c r="C16" s="154">
        <v>8.8124904643238562</v>
      </c>
      <c r="D16" s="155">
        <v>3.2853582871382798</v>
      </c>
      <c r="E16" s="154"/>
      <c r="F16" s="154"/>
      <c r="G16" s="153">
        <v>4.1671081350257433</v>
      </c>
      <c r="H16" s="154">
        <v>26.67291961704381</v>
      </c>
      <c r="I16" s="155"/>
      <c r="J16" s="158">
        <v>-7.1681131468981141</v>
      </c>
      <c r="K16" s="159">
        <v>30.880778521870035</v>
      </c>
      <c r="L16" s="155"/>
      <c r="M16" s="158">
        <v>-1.4643075045759568</v>
      </c>
      <c r="N16" s="159">
        <v>27.54343725616777</v>
      </c>
      <c r="O16" s="155"/>
      <c r="P16" s="158">
        <v>-2.8571428571428581</v>
      </c>
      <c r="Q16" s="159">
        <v>13.564157249607756</v>
      </c>
      <c r="R16" s="155"/>
      <c r="S16" s="154"/>
      <c r="T16" s="159"/>
      <c r="U16" s="155"/>
      <c r="V16" s="153">
        <v>9.8765432098765427</v>
      </c>
      <c r="W16" s="154">
        <v>5.8432193048197467</v>
      </c>
      <c r="X16" s="155"/>
      <c r="Y16" s="158">
        <v>40</v>
      </c>
      <c r="Z16" s="159">
        <v>-2.6352819384831916</v>
      </c>
      <c r="AA16" s="155"/>
    </row>
    <row r="17" spans="1:27" ht="15.5" x14ac:dyDescent="0.35">
      <c r="A17" s="150">
        <v>1976</v>
      </c>
      <c r="B17" s="141">
        <v>23.695748224178367</v>
      </c>
      <c r="C17" s="142">
        <v>10.473948951500528</v>
      </c>
      <c r="D17" s="143">
        <v>4.5049790979845694</v>
      </c>
      <c r="E17" s="146">
        <v>19.7</v>
      </c>
      <c r="F17" s="142">
        <f>+G17-E17</f>
        <v>9.098306463922512E-3</v>
      </c>
      <c r="G17" s="141">
        <v>19.709098306463922</v>
      </c>
      <c r="H17" s="142">
        <v>26.011593383193986</v>
      </c>
      <c r="I17" s="143"/>
      <c r="J17" s="146">
        <v>42.278393351800567</v>
      </c>
      <c r="K17" s="147">
        <v>32.494806914093679</v>
      </c>
      <c r="L17" s="143"/>
      <c r="M17" s="146">
        <v>64.148606811145498</v>
      </c>
      <c r="N17" s="147">
        <v>34.53485630658961</v>
      </c>
      <c r="O17" s="143"/>
      <c r="P17" s="146">
        <v>61.764705882352921</v>
      </c>
      <c r="Q17" s="147">
        <v>21.235184842949906</v>
      </c>
      <c r="R17" s="143"/>
      <c r="S17" s="142"/>
      <c r="T17" s="147">
        <f>(('Cash Flow'!O19/'Cash Flow'!O14)^0.2-1)*100</f>
        <v>49.911712711030496</v>
      </c>
      <c r="U17" s="143"/>
      <c r="V17" s="141">
        <v>12.359550561797761</v>
      </c>
      <c r="W17" s="142">
        <v>8.3390540960142303</v>
      </c>
      <c r="X17" s="143"/>
      <c r="Y17" s="146">
        <v>66.666666666666657</v>
      </c>
      <c r="Z17" s="142">
        <v>1.8084002320198911</v>
      </c>
      <c r="AA17" s="143"/>
    </row>
    <row r="18" spans="1:27" ht="15.5" x14ac:dyDescent="0.35">
      <c r="A18" s="150">
        <v>1977</v>
      </c>
      <c r="B18" s="141">
        <v>21.174145843957167</v>
      </c>
      <c r="C18" s="142">
        <v>9.3561958184599696</v>
      </c>
      <c r="D18" s="143">
        <v>4.1471188169301376</v>
      </c>
      <c r="E18" s="146">
        <v>22.2</v>
      </c>
      <c r="F18" s="142">
        <f t="shared" ref="F18:F43" si="0">+G18-E18</f>
        <v>11.097080515243182</v>
      </c>
      <c r="G18" s="141">
        <v>33.297080515243181</v>
      </c>
      <c r="H18" s="142">
        <v>21.81274695148927</v>
      </c>
      <c r="I18" s="143">
        <f>+(('Income - Historical'!B20/'Income - Historical'!B10)^0.1-1)*100</f>
        <v>27.958896232348152</v>
      </c>
      <c r="J18" s="146">
        <v>19.071955869230163</v>
      </c>
      <c r="K18" s="147">
        <v>22.272784299571825</v>
      </c>
      <c r="L18" s="143">
        <f>+(('Income - Historical'!I20/'Income - Historical'!I10)^0.1-1)*100</f>
        <v>33.752970729582941</v>
      </c>
      <c r="M18" s="146">
        <v>22.708411920030191</v>
      </c>
      <c r="N18" s="147">
        <v>21.45214854209383</v>
      </c>
      <c r="O18" s="143">
        <f>+(('Income - Historical'!M20/'Income - Historical'!M10)^0.1-1)*100</f>
        <v>31.809655121882741</v>
      </c>
      <c r="P18" s="146">
        <v>23.636363636363654</v>
      </c>
      <c r="Q18" s="147">
        <v>17.781622215659041</v>
      </c>
      <c r="R18" s="143">
        <f>+(('Income - Historical'!V20/'Income - Historical'!V10)^0.1-1)*100</f>
        <v>17.993084965303584</v>
      </c>
      <c r="S18" s="142"/>
      <c r="T18" s="147">
        <f>(('Cash Flow'!O20/'Cash Flow'!O15)^0.2-1)*100</f>
        <v>75.712623171768456</v>
      </c>
      <c r="U18" s="143">
        <f>(('Cash Flow'!O20/'Cash Flow'!O10)^0.1-1)*100</f>
        <v>25.724669558937908</v>
      </c>
      <c r="V18" s="141">
        <v>22</v>
      </c>
      <c r="W18" s="142">
        <v>12.073296918302322</v>
      </c>
      <c r="X18" s="143">
        <f>+(('Income - Historical'!X20/'Income - Historical'!X10)^0.1-1)*100</f>
        <v>8.2928327191270199</v>
      </c>
      <c r="Y18" s="146">
        <v>34.285714285714299</v>
      </c>
      <c r="Z18" s="147">
        <v>-5.9879383317284818</v>
      </c>
      <c r="AA18" s="143">
        <f>+(('Income - Historical'!Y20/'Income - Historical'!Y10)^0.1-1)*100</f>
        <v>19.985406325207954</v>
      </c>
    </row>
    <row r="19" spans="1:27" ht="15.5" x14ac:dyDescent="0.35">
      <c r="A19" s="166">
        <v>1978</v>
      </c>
      <c r="B19" s="142">
        <v>21.446016389520945</v>
      </c>
      <c r="C19" s="142">
        <v>10.373910286009934</v>
      </c>
      <c r="D19" s="143">
        <v>4.9324335601310709</v>
      </c>
      <c r="E19" s="146">
        <v>14.6</v>
      </c>
      <c r="F19" s="142">
        <f t="shared" si="0"/>
        <v>-2.2616012238660943E-2</v>
      </c>
      <c r="G19" s="141">
        <v>14.577383987761339</v>
      </c>
      <c r="H19" s="142">
        <v>16.940872591317667</v>
      </c>
      <c r="I19" s="143">
        <f>+(('Income - Historical'!B21/'Income - Historical'!B11)^0.1-1)*100</f>
        <v>26.356275851370768</v>
      </c>
      <c r="J19" s="146">
        <v>27.040468728709619</v>
      </c>
      <c r="K19" s="147">
        <v>17.28582511972856</v>
      </c>
      <c r="L19" s="143">
        <f>+(('Income - Historical'!I21/'Income - Historical'!I11)^0.1-1)*100</f>
        <v>30.446772506730468</v>
      </c>
      <c r="M19" s="146">
        <v>36.274208422994157</v>
      </c>
      <c r="N19" s="147">
        <v>19.136864836017931</v>
      </c>
      <c r="O19" s="143">
        <f>+(('Income - Historical'!M21/'Income - Historical'!M11)^0.1-1)*100</f>
        <v>31.282221552308663</v>
      </c>
      <c r="P19" s="146">
        <v>35.294117647058812</v>
      </c>
      <c r="Q19" s="147">
        <v>18.126018804310839</v>
      </c>
      <c r="R19" s="143">
        <f>+(('Income - Historical'!V21/'Income - Historical'!V11)^0.1-1)*100</f>
        <v>18.395144141134011</v>
      </c>
      <c r="S19" s="142"/>
      <c r="T19" s="147">
        <f>(('Cash Flow'!O21/'Cash Flow'!O16)^0.2-1)*100</f>
        <v>33.937566194267553</v>
      </c>
      <c r="U19" s="143">
        <f>(('Cash Flow'!O21/'Cash Flow'!O11)^0.1-1)*100</f>
        <v>29.50481356818624</v>
      </c>
      <c r="V19" s="141">
        <v>20.491803278688515</v>
      </c>
      <c r="W19" s="142">
        <v>15.344520419276764</v>
      </c>
      <c r="X19" s="143">
        <f>+(('Income - Historical'!X21/'Income - Historical'!X11)^0.1-1)*100</f>
        <v>9.0165827699081333</v>
      </c>
      <c r="Y19" s="146">
        <v>19.148936170212782</v>
      </c>
      <c r="Z19" s="142">
        <v>15.708390490417855</v>
      </c>
      <c r="AA19" s="143">
        <f>+(('Income - Historical'!Y21/'Income - Historical'!Y11)^0.1-1)*100</f>
        <v>7.1773462536293131</v>
      </c>
    </row>
    <row r="20" spans="1:27" ht="15.5" x14ac:dyDescent="0.35">
      <c r="A20" s="166">
        <v>1979</v>
      </c>
      <c r="B20" s="142">
        <v>14.574762980735631</v>
      </c>
      <c r="C20" s="142">
        <v>7.3190617065387027</v>
      </c>
      <c r="D20" s="143">
        <v>3.2057583451745906</v>
      </c>
      <c r="E20" s="146">
        <v>15.1</v>
      </c>
      <c r="F20" s="142">
        <f t="shared" si="0"/>
        <v>4.3137380458305774</v>
      </c>
      <c r="G20" s="141">
        <v>19.413738045830577</v>
      </c>
      <c r="H20" s="142">
        <v>17.859968332269261</v>
      </c>
      <c r="I20" s="143">
        <f>+(('Income - Historical'!B22/'Income - Historical'!B12)^0.1-1)*100</f>
        <v>23.903059574817085</v>
      </c>
      <c r="J20" s="146">
        <v>-15.75052287231189</v>
      </c>
      <c r="K20" s="147">
        <v>10.976489783319776</v>
      </c>
      <c r="L20" s="143">
        <f>+(('Income - Historical'!I22/'Income - Historical'!I12)^0.1-1)*100</f>
        <v>24.792961684767189</v>
      </c>
      <c r="M20" s="146">
        <v>-22.388901421159481</v>
      </c>
      <c r="N20" s="147">
        <v>15.986787988389327</v>
      </c>
      <c r="O20" s="143">
        <f>+(('Income - Historical'!M22/'Income - Historical'!M12)^0.1-1)*100</f>
        <v>24.896287270145233</v>
      </c>
      <c r="P20" s="146">
        <v>-22.826086956521742</v>
      </c>
      <c r="Q20" s="147">
        <v>15.196175519870758</v>
      </c>
      <c r="R20" s="143">
        <f>+(('Income - Historical'!V22/'Income - Historical'!V12)^0.1-1)*100</f>
        <v>15.366825562833441</v>
      </c>
      <c r="S20" s="142"/>
      <c r="T20" s="147">
        <f>(('Cash Flow'!O22/'Cash Flow'!O17)^0.2-1)*100</f>
        <v>29.768583396252414</v>
      </c>
      <c r="U20" s="143"/>
      <c r="V20" s="141">
        <v>24.489795918367353</v>
      </c>
      <c r="W20" s="142">
        <v>17.704539936115982</v>
      </c>
      <c r="X20" s="143">
        <f>+(('Income - Historical'!X22/'Income - Historical'!X12)^0.1-1)*100</f>
        <v>10.736480259760594</v>
      </c>
      <c r="Y20" s="146">
        <v>-17.857142857142861</v>
      </c>
      <c r="Z20" s="142">
        <v>25.121895365706372</v>
      </c>
      <c r="AA20" s="143">
        <f>+(('Income - Historical'!Y22/'Income - Historical'!Y12)^0.1-1)*100</f>
        <v>1.6644984534020635</v>
      </c>
    </row>
    <row r="21" spans="1:27" ht="15.5" x14ac:dyDescent="0.35">
      <c r="A21" s="304">
        <v>1980</v>
      </c>
      <c r="B21" s="154">
        <v>15.637407611019489</v>
      </c>
      <c r="C21" s="154">
        <v>7.8815326753754462</v>
      </c>
      <c r="D21" s="155">
        <v>3.662835850851244</v>
      </c>
      <c r="E21" s="158">
        <v>1.6</v>
      </c>
      <c r="F21" s="154">
        <f t="shared" si="0"/>
        <v>5.1781686039739991</v>
      </c>
      <c r="G21" s="153">
        <v>6.7781686039739997</v>
      </c>
      <c r="H21" s="154">
        <v>18.444989050138073</v>
      </c>
      <c r="I21" s="155">
        <f>+(('Income - Historical'!B23/'Income - Historical'!B13)^0.1-1)*100</f>
        <v>22.489887651959961</v>
      </c>
      <c r="J21" s="158">
        <v>14.984086569064292</v>
      </c>
      <c r="K21" s="159">
        <v>15.829477212385189</v>
      </c>
      <c r="L21" s="155">
        <f>+(('Income - Historical'!I23/'Income - Historical'!I13)^0.1-1)*100</f>
        <v>23.125351383613022</v>
      </c>
      <c r="M21" s="158">
        <v>22.002615898851907</v>
      </c>
      <c r="N21" s="159">
        <v>21.049677191917993</v>
      </c>
      <c r="O21" s="155">
        <f>+(('Income - Historical'!M23/'Income - Historical'!M13)^0.1-1)*100</f>
        <v>24.254142417091096</v>
      </c>
      <c r="P21" s="158">
        <v>21.126760563380277</v>
      </c>
      <c r="Q21" s="159">
        <v>20.393740258608517</v>
      </c>
      <c r="R21" s="155">
        <f>+(('Income - Historical'!V23/'Income - Historical'!V13)^0.1-1)*100</f>
        <v>16.92909668083924</v>
      </c>
      <c r="S21" s="154"/>
      <c r="T21" s="159">
        <f>(('Cash Flow'!O23/'Cash Flow'!O18)^0.2-1)*100</f>
        <v>13.110792841381702</v>
      </c>
      <c r="U21" s="155"/>
      <c r="V21" s="153">
        <v>16.393442622950815</v>
      </c>
      <c r="W21" s="154">
        <v>19.068784268222227</v>
      </c>
      <c r="X21" s="155">
        <f>+(('Income - Historical'!X23/'Income - Historical'!X13)^0.1-1)*100</f>
        <v>12.261406750760596</v>
      </c>
      <c r="Y21" s="158">
        <v>10.869565217391308</v>
      </c>
      <c r="Z21" s="154">
        <v>19.418105281717768</v>
      </c>
      <c r="AA21" s="155">
        <f>+(('Income - Historical'!Y23/'Income - Historical'!Y13)^0.1-1)*100</f>
        <v>7.8290784167006633</v>
      </c>
    </row>
    <row r="22" spans="1:27" ht="15.5" x14ac:dyDescent="0.35">
      <c r="A22" s="166">
        <v>1981</v>
      </c>
      <c r="B22" s="142">
        <v>16.542702085118538</v>
      </c>
      <c r="C22" s="142">
        <v>8.9764829096448651</v>
      </c>
      <c r="D22" s="143">
        <v>4.5522231743311439</v>
      </c>
      <c r="E22" s="146">
        <v>14.2</v>
      </c>
      <c r="F22" s="142">
        <f>+G22-E22</f>
        <v>0.36451739574333786</v>
      </c>
      <c r="G22" s="141">
        <v>14.564517395743337</v>
      </c>
      <c r="H22" s="142">
        <v>17.408972190226145</v>
      </c>
      <c r="I22" s="143">
        <f>+(('Income - Historical'!B24/'Income - Historical'!B14)^0.1-1)*100</f>
        <v>21.634253658965275</v>
      </c>
      <c r="J22" s="146">
        <v>30.480513728963675</v>
      </c>
      <c r="K22" s="147">
        <v>13.84145487108912</v>
      </c>
      <c r="L22" s="143">
        <f>+(('Income - Historical'!I24/'Income - Historical'!I14)^0.1-1)*100</f>
        <v>22.814500699080575</v>
      </c>
      <c r="M22" s="146">
        <v>42.38237045860631</v>
      </c>
      <c r="N22" s="147">
        <v>17.654201100090017</v>
      </c>
      <c r="O22" s="143">
        <f>+(('Income - Historical'!M24/'Income - Historical'!M14)^0.1-1)*100</f>
        <v>25.811728542561596</v>
      </c>
      <c r="P22" s="146">
        <v>52.325581395348863</v>
      </c>
      <c r="Q22" s="147">
        <v>18.954731548371171</v>
      </c>
      <c r="R22" s="143">
        <f>+(('Income - Historical'!V24/'Income - Historical'!V14)^0.1-1)*100</f>
        <v>20.089545203611571</v>
      </c>
      <c r="S22" s="142"/>
      <c r="T22" s="210">
        <f>(('Cash Flow'!O24/'Cash Flow'!O19)^0.2-1)*100</f>
        <v>24.258113711703121</v>
      </c>
      <c r="U22" s="143">
        <f>(('Cash Flow'!O24/'Cash Flow'!O14)^0.1-1)*100</f>
        <v>36.483503196406119</v>
      </c>
      <c r="V22" s="141">
        <v>17.370892018779351</v>
      </c>
      <c r="W22" s="142">
        <v>20.112443398143132</v>
      </c>
      <c r="X22" s="143">
        <f>+(('Income - Historical'!X24/'Income - Historical'!X14)^0.1-1)*100</f>
        <v>14.07396066989115</v>
      </c>
      <c r="Y22" s="146">
        <v>80.392156862745097</v>
      </c>
      <c r="Z22" s="142">
        <v>21.323227916786713</v>
      </c>
      <c r="AA22" s="143">
        <f>+(('Income - Historical'!Y24/'Income - Historical'!Y14)^0.1-1)*100</f>
        <v>11.138309080140285</v>
      </c>
    </row>
    <row r="23" spans="1:27" ht="15.5" x14ac:dyDescent="0.35">
      <c r="A23" s="166">
        <v>1982</v>
      </c>
      <c r="B23" s="142">
        <v>15.113999643580634</v>
      </c>
      <c r="C23" s="142">
        <v>6.8636186749200787</v>
      </c>
      <c r="D23" s="143">
        <v>3.321246594922115</v>
      </c>
      <c r="E23" s="146">
        <v>2.1</v>
      </c>
      <c r="F23" s="142">
        <f t="shared" si="0"/>
        <v>2.6156050652194636</v>
      </c>
      <c r="G23" s="141">
        <v>4.7156050652194637</v>
      </c>
      <c r="H23" s="142">
        <v>11.876646518587709</v>
      </c>
      <c r="I23" s="143">
        <f>+(('Income - Historical'!B25/'Income - Historical'!B15)^0.1-1)*100</f>
        <v>16.739032170692326</v>
      </c>
      <c r="J23" s="146">
        <v>-19.932117098005943</v>
      </c>
      <c r="K23" s="147">
        <v>5.155068082516423</v>
      </c>
      <c r="L23" s="143">
        <f>+(('Income - Historical'!I25/'Income - Historical'!I15)^0.1-1)*100</f>
        <v>13.391370737196407</v>
      </c>
      <c r="M23" s="146">
        <v>-23.600769681251567</v>
      </c>
      <c r="N23" s="147">
        <v>7.016407744373665</v>
      </c>
      <c r="O23" s="143">
        <f>+(('Income - Historical'!M25/'Income - Historical'!M15)^0.1-1)*100</f>
        <v>14.006020234946149</v>
      </c>
      <c r="P23" s="146">
        <v>-19.083969465648863</v>
      </c>
      <c r="Q23" s="147">
        <v>9.2847065672327478</v>
      </c>
      <c r="R23" s="143">
        <f>+(('Income - Historical'!V25/'Income - Historical'!V15)^0.1-1)*100</f>
        <v>13.45364702313876</v>
      </c>
      <c r="S23" s="142"/>
      <c r="T23" s="147">
        <f>(('Cash Flow'!O25/'Cash Flow'!O20)^0.2-1)*100</f>
        <v>16.045649072887368</v>
      </c>
      <c r="U23" s="143">
        <f>(('Cash Flow'!O25/'Cash Flow'!O15)^0.1-1)*100</f>
        <v>42.795957247631968</v>
      </c>
      <c r="V23" s="141">
        <v>13.2</v>
      </c>
      <c r="W23" s="142">
        <v>18.327399747364616</v>
      </c>
      <c r="X23" s="143">
        <f>+(('Income - Historical'!X25/'Income - Historical'!X15)^0.1-1)*100</f>
        <v>15.157899448787472</v>
      </c>
      <c r="Y23" s="146">
        <v>16.304347826086961</v>
      </c>
      <c r="Z23" s="142">
        <v>17.884629788893935</v>
      </c>
      <c r="AA23" s="143">
        <f>+(('Income - Historical'!Y25/'Income - Historical'!Y15)^0.1-1)*100</f>
        <v>5.273819563340898</v>
      </c>
    </row>
    <row r="24" spans="1:27" ht="15.5" x14ac:dyDescent="0.35">
      <c r="A24" s="150">
        <v>1983</v>
      </c>
      <c r="B24" s="141">
        <v>16.067988860582165</v>
      </c>
      <c r="C24" s="142">
        <v>8.7948867134763233</v>
      </c>
      <c r="D24" s="143">
        <v>4.3989967745397642</v>
      </c>
      <c r="E24" s="146">
        <v>9.8000000000000007</v>
      </c>
      <c r="F24" s="142">
        <f t="shared" si="0"/>
        <v>18.968498347014272</v>
      </c>
      <c r="G24" s="141">
        <v>28.768498347014273</v>
      </c>
      <c r="H24" s="142">
        <v>14.52006497886391</v>
      </c>
      <c r="I24" s="143">
        <f>+(('Income - Historical'!B26/'Income - Historical'!B16)^0.1-1)*100</f>
        <v>15.724138915970087</v>
      </c>
      <c r="J24" s="146">
        <v>65.00105977108943</v>
      </c>
      <c r="K24" s="147">
        <v>10.799841245539277</v>
      </c>
      <c r="L24" s="143">
        <f>+(('Income - Historical'!I26/'Income - Historical'!I16)^0.1-1)*100</f>
        <v>13.996714003597521</v>
      </c>
      <c r="M24" s="146">
        <v>70.554095488392463</v>
      </c>
      <c r="N24" s="147">
        <v>11.928340734784882</v>
      </c>
      <c r="O24" s="143">
        <f>+(('Income - Historical'!M26/'Income - Historical'!M16)^0.1-1)*100</f>
        <v>15.476368151409336</v>
      </c>
      <c r="P24" s="146">
        <v>44.339622641509436</v>
      </c>
      <c r="Q24" s="147">
        <v>10.708437337761612</v>
      </c>
      <c r="R24" s="143">
        <f>+(('Income - Historical'!V26/'Income - Historical'!V16)^0.1-1)*100</f>
        <v>14.357102756043517</v>
      </c>
      <c r="S24" s="142"/>
      <c r="T24" s="147">
        <f>(('Cash Flow'!O26/'Cash Flow'!O21)^0.2-1)*100</f>
        <v>-4.174240044437294</v>
      </c>
      <c r="U24" s="143">
        <f>(('Cash Flow'!O26/'Cash Flow'!O16)^0.1-1)*100</f>
        <v>13.290198460255919</v>
      </c>
      <c r="V24" s="141">
        <v>10.600706713780927</v>
      </c>
      <c r="W24" s="142">
        <v>16.317591381482632</v>
      </c>
      <c r="X24" s="143">
        <f>+(('Income - Historical'!X26/'Income - Historical'!X16)^0.1-1)*100</f>
        <v>15.830034076756249</v>
      </c>
      <c r="Y24" s="146">
        <v>56.07476635514017</v>
      </c>
      <c r="Z24" s="142">
        <v>24.424438294533847</v>
      </c>
      <c r="AA24" s="143">
        <f>+(('Income - Historical'!Y26/'Income - Historical'!Y16)^0.1-1)*100</f>
        <v>19.987297214058543</v>
      </c>
    </row>
    <row r="25" spans="1:27" ht="15.5" x14ac:dyDescent="0.35">
      <c r="A25" s="150">
        <v>1984</v>
      </c>
      <c r="B25" s="141">
        <v>15.951884938149549</v>
      </c>
      <c r="C25" s="142">
        <v>8.9886185751444749</v>
      </c>
      <c r="D25" s="143">
        <v>4.8894224544801856</v>
      </c>
      <c r="E25" s="146">
        <v>13.6</v>
      </c>
      <c r="F25" s="142">
        <f t="shared" si="0"/>
        <v>6.3845787978240924</v>
      </c>
      <c r="G25" s="141">
        <v>19.984578797824092</v>
      </c>
      <c r="H25" s="142">
        <v>14.62934566355074</v>
      </c>
      <c r="I25" s="143">
        <f>+(('Income - Historical'!B27/'Income - Historical'!B17)^0.1-1)*100</f>
        <v>16.23343344259791</v>
      </c>
      <c r="J25" s="146">
        <v>22.627573139792556</v>
      </c>
      <c r="K25" s="147">
        <v>19.438219876127771</v>
      </c>
      <c r="L25" s="143">
        <f>+(('Income - Historical'!I27/'Income - Historical'!I17)^0.1-1)*100</f>
        <v>15.129641655921922</v>
      </c>
      <c r="M25" s="146">
        <v>33.36115569823437</v>
      </c>
      <c r="N25" s="147">
        <v>24.727199022875411</v>
      </c>
      <c r="O25" s="143">
        <f>+(('Income - Historical'!M27/'Income - Historical'!M17)^0.1-1)*100</f>
        <v>20.27762547311902</v>
      </c>
      <c r="P25" s="146">
        <v>16.339869281045736</v>
      </c>
      <c r="Q25" s="147">
        <v>20.180036262212919</v>
      </c>
      <c r="R25" s="143">
        <f>+(('Income - Historical'!V27/'Income - Historical'!V17)^0.1-1)*100</f>
        <v>17.661720840918839</v>
      </c>
      <c r="S25" s="142"/>
      <c r="T25" s="147">
        <f>(('Cash Flow'!O27/'Cash Flow'!O22)^0.2-1)*100</f>
        <v>22.712958756084944</v>
      </c>
      <c r="U25" s="143">
        <f>(('Cash Flow'!O27/'Cash Flow'!O17)^0.1-1)*100</f>
        <v>26.19146889603865</v>
      </c>
      <c r="V25" s="141">
        <v>17.252396166134186</v>
      </c>
      <c r="W25" s="142">
        <v>14.93253741233065</v>
      </c>
      <c r="X25" s="143">
        <f>+(('Income - Historical'!X27/'Income - Historical'!X17)^0.1-1)*100</f>
        <v>16.310280886122939</v>
      </c>
      <c r="Y25" s="146">
        <v>-5.9880239520957996</v>
      </c>
      <c r="Z25" s="142">
        <v>27.828697620906475</v>
      </c>
      <c r="AA25" s="143">
        <f>+(('Income - Historical'!Y27/'Income - Historical'!Y17)^0.1-1)*100</f>
        <v>26.468054972224419</v>
      </c>
    </row>
    <row r="26" spans="1:27" ht="15.5" x14ac:dyDescent="0.35">
      <c r="A26" s="152">
        <v>1985</v>
      </c>
      <c r="B26" s="153">
        <v>17.355140635800367</v>
      </c>
      <c r="C26" s="154">
        <v>9.894102881629534</v>
      </c>
      <c r="D26" s="155">
        <v>5.0106398307650863</v>
      </c>
      <c r="E26" s="158">
        <v>5.0999999999999996</v>
      </c>
      <c r="F26" s="154">
        <f t="shared" si="0"/>
        <v>7.6222438002424493</v>
      </c>
      <c r="G26" s="153">
        <v>12.722243800242449</v>
      </c>
      <c r="H26" s="154">
        <v>15.878067748491787</v>
      </c>
      <c r="I26" s="155">
        <f>+(('Income - Historical'!B28/'Income - Historical'!B18)^0.1-1)*100</f>
        <v>17.154498273097762</v>
      </c>
      <c r="J26" s="158">
        <v>24.07751734974466</v>
      </c>
      <c r="K26" s="159">
        <v>21.27028357193117</v>
      </c>
      <c r="L26" s="155">
        <f>+(('Income - Historical'!I28/'Income - Historical'!I18)^0.1-1)*100</f>
        <v>18.518663287831984</v>
      </c>
      <c r="M26" s="158">
        <v>15.516826344422508</v>
      </c>
      <c r="N26" s="159">
        <v>23.371939097693218</v>
      </c>
      <c r="O26" s="155">
        <f>+(('Income - Historical'!M28/'Income - Historical'!M18)^0.1-1)*100</f>
        <v>22.205292038915946</v>
      </c>
      <c r="P26" s="158">
        <v>14.606741573033698</v>
      </c>
      <c r="Q26" s="159">
        <v>18.85743212491786</v>
      </c>
      <c r="R26" s="155">
        <f>+(('Income - Historical'!V28/'Income - Historical'!V18)^0.1-1)*100</f>
        <v>19.623119885131544</v>
      </c>
      <c r="S26" s="154"/>
      <c r="T26" s="159">
        <f>(('Cash Flow'!O28/'Cash Flow'!O23)^0.2-1)*100</f>
        <v>6.9773749854537215</v>
      </c>
      <c r="U26" s="155">
        <f>(('Cash Flow'!O28/'Cash Flow'!O18)^0.1-1)*100</f>
        <v>10.001344085854068</v>
      </c>
      <c r="V26" s="153">
        <v>13.623978201634879</v>
      </c>
      <c r="W26" s="154">
        <v>14.380315542691191</v>
      </c>
      <c r="X26" s="155">
        <f>+(('Income - Historical'!X28/'Income - Historical'!X18)^0.1-1)*100</f>
        <v>16.701007347339903</v>
      </c>
      <c r="Y26" s="158">
        <v>76.433121019108285</v>
      </c>
      <c r="Z26" s="154">
        <v>40.275530106350807</v>
      </c>
      <c r="AA26" s="155">
        <f>+(('Income - Historical'!Y28/'Income - Historical'!Y18)^0.1-1)*100</f>
        <v>29.427346502541617</v>
      </c>
    </row>
    <row r="27" spans="1:27" ht="15.5" x14ac:dyDescent="0.35">
      <c r="A27" s="150">
        <v>1986</v>
      </c>
      <c r="B27" s="141">
        <v>17.517236198235913</v>
      </c>
      <c r="C27" s="142">
        <v>11.016141755138417</v>
      </c>
      <c r="D27" s="143">
        <v>5.9033338683185184</v>
      </c>
      <c r="E27" s="146">
        <v>8.6</v>
      </c>
      <c r="F27" s="142">
        <f>+G27-E27</f>
        <v>13.70814369931986</v>
      </c>
      <c r="G27" s="141">
        <v>22.30814369931986</v>
      </c>
      <c r="H27" s="142">
        <v>17.403837804149713</v>
      </c>
      <c r="I27" s="143">
        <f>+(('Income - Historical'!B29/'Income - Historical'!B19)^0.1-1)*100</f>
        <v>17.406404969120981</v>
      </c>
      <c r="J27" s="146">
        <v>36.178475695983451</v>
      </c>
      <c r="K27" s="147">
        <v>22.311405074848079</v>
      </c>
      <c r="L27" s="143">
        <f>+(('Income - Historical'!I29/'Income - Historical'!I19)^0.1-1)*100</f>
        <v>18.000458901852646</v>
      </c>
      <c r="M27" s="146">
        <v>44.098524631157801</v>
      </c>
      <c r="N27" s="147">
        <v>23.6679192901744</v>
      </c>
      <c r="O27" s="143">
        <f>+(('Income - Historical'!M29/'Income - Historical'!M19)^0.1-1)*100</f>
        <v>20.623589093493155</v>
      </c>
      <c r="P27" s="146">
        <v>24.509803921568629</v>
      </c>
      <c r="Q27" s="147">
        <v>14.159612037373082</v>
      </c>
      <c r="R27" s="143">
        <f>+(('Income - Historical'!V29/'Income - Historical'!V19)^0.1-1)*100</f>
        <v>16.53251050059772</v>
      </c>
      <c r="S27" s="142"/>
      <c r="T27" s="147">
        <f>(('Cash Flow'!O29/'Cash Flow'!O24)^0.2-1)*100</f>
        <v>20.634242619201149</v>
      </c>
      <c r="U27" s="143">
        <f>(('Cash Flow'!O29/'Cash Flow'!O19)^0.1-1)*100</f>
        <v>22.432771090512695</v>
      </c>
      <c r="V27" s="141">
        <v>19.90407673860912</v>
      </c>
      <c r="W27" s="142">
        <v>14.869835499703509</v>
      </c>
      <c r="X27" s="143">
        <f>+(('Income - Historical'!X29/'Income - Historical'!X19)^0.1-1)*100</f>
        <v>17.461894308801895</v>
      </c>
      <c r="Y27" s="146">
        <v>16.245487364620949</v>
      </c>
      <c r="Z27" s="142">
        <v>28.473515712343932</v>
      </c>
      <c r="AA27" s="143">
        <f>+(('Income - Historical'!Y29/'Income - Historical'!Y19)^0.1-1)*100</f>
        <v>24.847193112378708</v>
      </c>
    </row>
    <row r="28" spans="1:27" ht="15.5" x14ac:dyDescent="0.35">
      <c r="A28" s="150">
        <v>1987</v>
      </c>
      <c r="B28" s="141">
        <v>17.459048587205135</v>
      </c>
      <c r="C28" s="142">
        <v>10.860615022064088</v>
      </c>
      <c r="D28" s="143">
        <v>5.771164968540381</v>
      </c>
      <c r="E28" s="146">
        <v>10.3</v>
      </c>
      <c r="F28" s="142">
        <f t="shared" si="0"/>
        <v>0.5520606604904259</v>
      </c>
      <c r="G28" s="141">
        <v>10.852060660490427</v>
      </c>
      <c r="H28" s="142">
        <v>18.748673400859484</v>
      </c>
      <c r="I28" s="143">
        <f>+(('Income - Historical'!B30/'Income - Historical'!B20)^0.1-1)*100</f>
        <v>15.261456517862793</v>
      </c>
      <c r="J28" s="146">
        <v>9.2870427774333528</v>
      </c>
      <c r="K28" s="147">
        <v>30.163440991188352</v>
      </c>
      <c r="L28" s="143">
        <f>+(('Income - Historical'!I30/'Income - Historical'!I20)^0.1-1)*100</f>
        <v>16.992929270460699</v>
      </c>
      <c r="M28" s="146">
        <v>8.3702096890817081</v>
      </c>
      <c r="N28" s="147">
        <v>32.623730547017082</v>
      </c>
      <c r="O28" s="143">
        <f>+(('Income - Historical'!M30/'Income - Historical'!M20)^0.1-1)*100</f>
        <v>19.13402211291082</v>
      </c>
      <c r="P28" s="146">
        <v>9.4488188976377998</v>
      </c>
      <c r="Q28" s="147">
        <v>21.268438687311964</v>
      </c>
      <c r="R28" s="143">
        <f>+(('Income - Historical'!V30/'Income - Historical'!V20)^0.1-1)*100</f>
        <v>15.120744168066192</v>
      </c>
      <c r="S28" s="142"/>
      <c r="T28" s="147">
        <f>(('Cash Flow'!O30/'Cash Flow'!O25)^0.2-1)*100</f>
        <v>21.825224627462593</v>
      </c>
      <c r="U28" s="143">
        <f>(('Cash Flow'!O30/'Cash Flow'!O20)^0.1-1)*100</f>
        <v>18.900324916899191</v>
      </c>
      <c r="V28" s="141">
        <v>40</v>
      </c>
      <c r="W28" s="142">
        <v>19.856701310981695</v>
      </c>
      <c r="X28" s="143">
        <f>+(('Income - Historical'!X30/'Income - Historical'!X20)^0.1-1)*100</f>
        <v>19.089595718622764</v>
      </c>
      <c r="Y28" s="146">
        <v>-14.596273291925465</v>
      </c>
      <c r="Z28" s="142">
        <v>20.778542163914992</v>
      </c>
      <c r="AA28" s="143">
        <f>+(('Income - Historical'!Y30/'Income - Historical'!Y20)^0.1-1)*100</f>
        <v>19.322813113986868</v>
      </c>
    </row>
    <row r="29" spans="1:27" ht="15.5" x14ac:dyDescent="0.35">
      <c r="A29" s="150">
        <v>1988</v>
      </c>
      <c r="B29" s="141">
        <v>15.874005598159794</v>
      </c>
      <c r="C29" s="142">
        <v>8.3187123491651533</v>
      </c>
      <c r="D29" s="143">
        <v>4.6584245884414175</v>
      </c>
      <c r="E29" s="146">
        <v>7.8</v>
      </c>
      <c r="F29" s="142">
        <f t="shared" si="0"/>
        <v>16.946282220117208</v>
      </c>
      <c r="G29" s="141">
        <v>24.746282220117209</v>
      </c>
      <c r="H29" s="142">
        <v>17.997379526805091</v>
      </c>
      <c r="I29" s="143">
        <f>+(('Income - Historical'!B31/'Income - Historical'!B21)^0.1-1)*100</f>
        <v>16.245720655624062</v>
      </c>
      <c r="J29" s="146">
        <v>-4.450306330837317</v>
      </c>
      <c r="K29" s="147">
        <v>16.691046359639028</v>
      </c>
      <c r="L29" s="143">
        <f>+(('Income - Historical'!I31/'Income - Historical'!I21)^0.1-1)*100</f>
        <v>13.707297089605763</v>
      </c>
      <c r="M29" s="146">
        <v>0.69390696308948563</v>
      </c>
      <c r="N29" s="147">
        <v>19.35742692469049</v>
      </c>
      <c r="O29" s="143">
        <f>+(('Income - Historical'!M31/'Income - Historical'!M21)^0.1-1)*100</f>
        <v>15.583211367628746</v>
      </c>
      <c r="P29" s="146">
        <v>-2.5179856115107979</v>
      </c>
      <c r="Q29" s="147">
        <v>12.112896255764305</v>
      </c>
      <c r="R29" s="143">
        <f>+(('Income - Historical'!V31/'Income - Historical'!V21)^0.1-1)*100</f>
        <v>11.408453673346752</v>
      </c>
      <c r="S29" s="142"/>
      <c r="T29" s="147">
        <f>(('Cash Flow'!O31/'Cash Flow'!O26)^0.2-1)*100</f>
        <v>33.728022000305621</v>
      </c>
      <c r="U29" s="143">
        <f>(('Cash Flow'!O31/'Cash Flow'!O21)^0.1-1)*100</f>
        <v>13.201542990957037</v>
      </c>
      <c r="V29" s="141">
        <v>14.285714285714279</v>
      </c>
      <c r="W29" s="142">
        <v>20.644945032884255</v>
      </c>
      <c r="X29" s="143">
        <f>+(('Income - Historical'!X31/'Income - Historical'!X21)^0.1-1)*100</f>
        <v>18.461510283199001</v>
      </c>
      <c r="Y29" s="146">
        <v>8.0000000000000071</v>
      </c>
      <c r="Z29" s="142">
        <v>12.203911155591474</v>
      </c>
      <c r="AA29" s="143">
        <f>+(('Income - Historical'!Y31/'Income - Historical'!Y21)^0.1-1)*100</f>
        <v>18.156288956552146</v>
      </c>
    </row>
    <row r="30" spans="1:27" ht="15.5" x14ac:dyDescent="0.35">
      <c r="A30" s="150">
        <v>1989</v>
      </c>
      <c r="B30" s="141">
        <v>16.679221917333003</v>
      </c>
      <c r="C30" s="142">
        <v>8.91735418009171</v>
      </c>
      <c r="D30" s="143">
        <v>4.6292066392568909</v>
      </c>
      <c r="E30" s="146">
        <v>4.5</v>
      </c>
      <c r="F30" s="142">
        <f t="shared" si="0"/>
        <v>17.93560696325142</v>
      </c>
      <c r="G30" s="141">
        <v>22.43560696325142</v>
      </c>
      <c r="H30" s="142">
        <v>18.475574715495679</v>
      </c>
      <c r="I30" s="143">
        <f>+(('Income - Historical'!B32/'Income - Historical'!B22)^0.1-1)*100</f>
        <v>16.536593423483879</v>
      </c>
      <c r="J30" s="146">
        <v>31.24647490129724</v>
      </c>
      <c r="K30" s="147">
        <v>18.287114299983642</v>
      </c>
      <c r="L30" s="143">
        <f>+(('Income - Historical'!I32/'Income - Historical'!I22)^0.1-1)*100</f>
        <v>18.861273618761576</v>
      </c>
      <c r="M30" s="146">
        <v>21.667682684407239</v>
      </c>
      <c r="N30" s="147">
        <v>17.186781063029819</v>
      </c>
      <c r="O30" s="143">
        <f>+(('Income - Historical'!M32/'Income - Historical'!M22)^0.1-1)*100</f>
        <v>20.898217375189798</v>
      </c>
      <c r="P30" s="146">
        <v>19.188191881918804</v>
      </c>
      <c r="Q30" s="147">
        <v>12.656564723122511</v>
      </c>
      <c r="R30" s="143">
        <f>+(('Income - Historical'!V32/'Income - Historical'!V22)^0.1-1)*100</f>
        <v>16.357509571154026</v>
      </c>
      <c r="S30" s="142">
        <f>('Cash Flow'!O32/'Cash Flow'!O31-1)*100</f>
        <v>27.690704942701672</v>
      </c>
      <c r="T30" s="147">
        <f>(('Cash Flow'!O32/'Cash Flow'!O27)^0.2-1)*100</f>
        <v>16.592485205491926</v>
      </c>
      <c r="U30" s="143">
        <f>(('Cash Flow'!O32/'Cash Flow'!O22)^0.1-1)*100</f>
        <v>19.61358128695494</v>
      </c>
      <c r="V30" s="141">
        <v>15.625</v>
      </c>
      <c r="W30" s="142">
        <v>20.308173567809828</v>
      </c>
      <c r="X30" s="143">
        <f>+(('Income - Historical'!X32/'Income - Historical'!X22)^0.1-1)*100</f>
        <v>17.589640953578357</v>
      </c>
      <c r="Y30" s="146">
        <v>26.262626262626256</v>
      </c>
      <c r="Z30" s="142">
        <v>19.021747690110224</v>
      </c>
      <c r="AA30" s="143">
        <f>+(('Income - Historical'!Y32/'Income - Historical'!Y22)^0.1-1)*100</f>
        <v>23.346645660880959</v>
      </c>
    </row>
    <row r="31" spans="1:27" ht="15.5" x14ac:dyDescent="0.35">
      <c r="A31" s="152">
        <v>1990</v>
      </c>
      <c r="B31" s="153">
        <v>16.456554329134761</v>
      </c>
      <c r="C31" s="154">
        <v>7.8998809506312551</v>
      </c>
      <c r="D31" s="155">
        <v>4.0142418318905335</v>
      </c>
      <c r="E31" s="158">
        <v>-1.5</v>
      </c>
      <c r="F31" s="154">
        <f t="shared" si="0"/>
        <v>11.282708444893551</v>
      </c>
      <c r="G31" s="153">
        <v>9.7827084448935508</v>
      </c>
      <c r="H31" s="154">
        <v>17.85111269888413</v>
      </c>
      <c r="I31" s="155">
        <f>+(('Income - Historical'!B33/'Income - Historical'!B23)^0.1-1)*100</f>
        <v>16.86042624240438</v>
      </c>
      <c r="J31" s="158">
        <v>-2.7435369687648481</v>
      </c>
      <c r="K31" s="159">
        <v>12.663311493454032</v>
      </c>
      <c r="L31" s="155">
        <f>+(('Income - Historical'!I33/'Income - Historical'!I23)^0.1-1)*100</f>
        <v>16.887602990924488</v>
      </c>
      <c r="M31" s="158">
        <v>-4.801324503311255</v>
      </c>
      <c r="N31" s="159">
        <v>12.739409687737901</v>
      </c>
      <c r="O31" s="155">
        <f>+(('Income - Historical'!M33/'Income - Historical'!M23)^0.1-1)*100</f>
        <v>17.935913045626116</v>
      </c>
      <c r="P31" s="158">
        <v>-9.287925696594435</v>
      </c>
      <c r="Q31" s="159">
        <v>7.5096605404550987</v>
      </c>
      <c r="R31" s="155">
        <f>+(('Income - Historical'!V33/'Income - Historical'!V23)^0.1-1)*100</f>
        <v>13.041241060332066</v>
      </c>
      <c r="S31" s="153">
        <f>('Cash Flow'!O33/'Cash Flow'!O32-1)*100</f>
        <v>19.424903908912896</v>
      </c>
      <c r="T31" s="159">
        <f>(('Cash Flow'!O33/'Cash Flow'!O28)^0.2-1)*100</f>
        <v>20.247837368811638</v>
      </c>
      <c r="U31" s="155">
        <f>(('Cash Flow'!O33/'Cash Flow'!O23)^0.1-1)*100</f>
        <v>13.418684480967325</v>
      </c>
      <c r="V31" s="153">
        <v>13.513513513513509</v>
      </c>
      <c r="W31" s="154">
        <v>20.284771859451034</v>
      </c>
      <c r="X31" s="155">
        <f>+(('Income - Historical'!X33/'Income - Historical'!X23)^0.1-1)*100</f>
        <v>17.29539701226399</v>
      </c>
      <c r="Y31" s="158">
        <v>-12</v>
      </c>
      <c r="Z31" s="154">
        <v>3.5635273923151134</v>
      </c>
      <c r="AA31" s="155">
        <f>+(('Income - Historical'!Y33/'Income - Historical'!Y23)^0.1-1)*100</f>
        <v>20.529783475457151</v>
      </c>
    </row>
    <row r="32" spans="1:27" ht="15.5" x14ac:dyDescent="0.35">
      <c r="A32" s="150">
        <v>1991</v>
      </c>
      <c r="B32" s="141">
        <f>+'Income - Historical'!C34/+'Income - Historical'!B34*100</f>
        <v>16.480919170491152</v>
      </c>
      <c r="C32" s="142">
        <f>+'Income - Historical'!I34/'Income - Historical'!B34*100</f>
        <v>7.0342794023173365</v>
      </c>
      <c r="D32" s="143">
        <f>+'Income - Historical'!M34/'Income - Historical'!B34*100</f>
        <v>3.6411870462034766</v>
      </c>
      <c r="E32" s="146">
        <v>-5</v>
      </c>
      <c r="F32" s="142">
        <f>+G32-E32</f>
        <v>4.3772872911124487</v>
      </c>
      <c r="G32" s="141">
        <f>+(('Income - Historical'!B34/'Income - Historical'!B33)-1)*100</f>
        <v>-0.6227127088875517</v>
      </c>
      <c r="H32" s="142">
        <f>+(('Income - Historical'!B34/'Income - Historical'!B29)^0.2-1)*100</f>
        <v>13.057672340761361</v>
      </c>
      <c r="I32" s="143">
        <f>+(('Income - Historical'!B34/'Income - Historical'!B24)^0.1-1)*100</f>
        <v>15.210262676592535</v>
      </c>
      <c r="J32" s="146">
        <v>-11.511627906976752</v>
      </c>
      <c r="K32" s="147">
        <v>3.3565631589404843</v>
      </c>
      <c r="L32" s="143">
        <f>+(('Income - Historical'!I34/'Income - Historical'!I24)^0.1-1)*100</f>
        <v>12.435254540901397</v>
      </c>
      <c r="M32" s="146">
        <f>+('Income - Historical'!M34/'Income - Historical'!M33-1)*100</f>
        <v>-9.8581235697940528</v>
      </c>
      <c r="N32" s="147">
        <f>+(('Income - Historical'!M34/'Income - Historical'!M29)^0.2-1)*100</f>
        <v>2.6429601978328776</v>
      </c>
      <c r="O32" s="143">
        <f>+(('Income - Historical'!M34/'Income - Historical'!M24)^0.1-1)*100</f>
        <v>12.666061071869294</v>
      </c>
      <c r="P32" s="146">
        <v>-6.8259385665528916</v>
      </c>
      <c r="Q32" s="147">
        <f>+(('Income - Historical'!V34/'Income - Historical'!V29)^0.2-1)*100</f>
        <v>1.4532084424458747</v>
      </c>
      <c r="R32" s="143">
        <f>+(('Income - Historical'!V34/'Income - Historical'!V24)^0.1-1)*100</f>
        <v>7.6190453206883113</v>
      </c>
      <c r="S32" s="142">
        <f>('Cash Flow'!O34/'Cash Flow'!O33-1)*100</f>
        <v>32.837407013815103</v>
      </c>
      <c r="T32" s="210">
        <f>(('Cash Flow'!O34/'Cash Flow'!O29)^0.2-1)*100</f>
        <v>16.882926859344892</v>
      </c>
      <c r="U32" s="143">
        <f>(('Cash Flow'!O34/'Cash Flow'!O24)^0.1-1)*100</f>
        <v>18.743771865275338</v>
      </c>
      <c r="V32" s="147">
        <f>+('Income - Historical'!X34/'Income - Historical'!X33-1)*100</f>
        <v>2.3809523809523725</v>
      </c>
      <c r="W32" s="142">
        <f>+(('Income - Historical'!X34/'Income - Historical'!X29)^0.2-1)*100</f>
        <v>16.543402167042554</v>
      </c>
      <c r="X32" s="143">
        <f>+(('Income - Historical'!X34/'Income - Historical'!X24)^0.1-1)*100</f>
        <v>15.703593010346783</v>
      </c>
      <c r="Y32" s="147">
        <f>+('Income - Historical'!Y34/'Income - Historical'!Y33-1)*100</f>
        <v>43.333333333333357</v>
      </c>
      <c r="Z32" s="142">
        <f>+(('Income - Historical'!Y34/'Income - Historical'!Y29)^0.2-1)*100</f>
        <v>7.9943547125127301</v>
      </c>
      <c r="AA32" s="143">
        <f>+(('Income - Historical'!Y34/'Income - Historical'!Y24)^0.1-1)*100</f>
        <v>17.789704248726459</v>
      </c>
    </row>
    <row r="33" spans="1:29" ht="15.5" x14ac:dyDescent="0.35">
      <c r="A33" s="150">
        <v>1992</v>
      </c>
      <c r="B33" s="141">
        <f>+'Income - Historical'!C35/+'Income - Historical'!B35*100</f>
        <v>18.035841522239483</v>
      </c>
      <c r="C33" s="142">
        <f>+'Income - Historical'!I35/'Income - Historical'!B35*100</f>
        <v>9.0218934698919924</v>
      </c>
      <c r="D33" s="143">
        <f>+'Income - Historical'!M35/'Income - Historical'!B35*100</f>
        <v>5.3370992903802348</v>
      </c>
      <c r="E33" s="146">
        <v>9</v>
      </c>
      <c r="F33" s="142">
        <f t="shared" si="0"/>
        <v>-0.80649723389209171</v>
      </c>
      <c r="G33" s="141">
        <f>+(('Income - Historical'!B35/'Income - Historical'!B34)-1)*100</f>
        <v>8.1935027661079083</v>
      </c>
      <c r="H33" s="142">
        <f>+(('Income - Historical'!B35/'Income - Historical'!B30)^0.2-1)*100</f>
        <v>12.510102921155418</v>
      </c>
      <c r="I33" s="143">
        <f>+(('Income - Historical'!B35/'Income - Historical'!B25)^0.1-1)*100</f>
        <v>15.587306682357527</v>
      </c>
      <c r="J33" s="146">
        <v>38.764783180026271</v>
      </c>
      <c r="K33" s="147">
        <v>8.4127040988680957</v>
      </c>
      <c r="L33" s="143">
        <f>+(('Income - Historical'!I35/'Income - Historical'!I25)^0.1-1)*100</f>
        <v>18.791290138074434</v>
      </c>
      <c r="M33" s="146">
        <f>+('Income - Historical'!M35/'Income - Historical'!M34-1)*100</f>
        <v>58.58549959382615</v>
      </c>
      <c r="N33" s="147">
        <f>+(('Income - Historical'!M35/'Income - Historical'!M30)^0.2-1)*100</f>
        <v>10.764318738426004</v>
      </c>
      <c r="O33" s="143">
        <f>+(('Income - Historical'!M35/'Income - Historical'!M25)^0.1-1)*100</f>
        <v>21.202215997022613</v>
      </c>
      <c r="P33" s="146">
        <v>49.450549450549431</v>
      </c>
      <c r="Q33" s="147">
        <f>+(('Income - Historical'!V35/'Income - Historical'!V30)^0.2-1)*100</f>
        <v>7.9749653706988388</v>
      </c>
      <c r="R33" s="143">
        <f>+(('Income - Historical'!V35/'Income - Historical'!V25)^0.1-1)*100</f>
        <v>14.428822714477075</v>
      </c>
      <c r="S33" s="142">
        <f>('Cash Flow'!O35/'Cash Flow'!O34-1)*100</f>
        <v>11.0857142857143</v>
      </c>
      <c r="T33" s="147">
        <f>(('Cash Flow'!O35/'Cash Flow'!O30)^0.2-1)*100</f>
        <v>20.768093289101252</v>
      </c>
      <c r="U33" s="143">
        <f>(('Cash Flow'!O35/'Cash Flow'!O25)^0.1-1)*100</f>
        <v>21.295507306639827</v>
      </c>
      <c r="V33" s="147">
        <f>+('Income - Historical'!X35/'Income - Historical'!X34-1)*100</f>
        <v>6.976744186046524</v>
      </c>
      <c r="W33" s="142">
        <f>+(('Income - Historical'!X35/'Income - Historical'!X30)^0.2-1)*100</f>
        <v>10.438362870438155</v>
      </c>
      <c r="X33" s="143">
        <f>+(('Income - Historical'!X35/'Income - Historical'!X25)^0.1-1)*100</f>
        <v>15.051196742302153</v>
      </c>
      <c r="Y33" s="147">
        <f>+('Income - Historical'!Y35/'Income - Historical'!Y34-1)*100</f>
        <v>79.704016913319236</v>
      </c>
      <c r="Z33" s="142">
        <f>+(('Income - Historical'!Y35/'Income - Historical'!Y30)^0.2-1)*100</f>
        <v>25.319093973218145</v>
      </c>
      <c r="AA33" s="143">
        <f>+(('Income - Historical'!Y35/'Income - Historical'!Y25)^0.1-1)*100</f>
        <v>23.027872758119127</v>
      </c>
    </row>
    <row r="34" spans="1:29" ht="15.5" x14ac:dyDescent="0.35">
      <c r="A34" s="150">
        <v>1993</v>
      </c>
      <c r="B34" s="141">
        <f>+'Income - Historical'!C36/+'Income - Historical'!B36*100</f>
        <v>18.621864151437741</v>
      </c>
      <c r="C34" s="142">
        <f>+'Income - Historical'!I36/'Income - Historical'!B36*100</f>
        <v>9.9037138927097637</v>
      </c>
      <c r="D34" s="143">
        <f>+'Income - Historical'!M36/'Income - Historical'!B36*100</f>
        <v>5.6265147049191073</v>
      </c>
      <c r="E34" s="146">
        <v>11</v>
      </c>
      <c r="F34" s="142">
        <f t="shared" si="0"/>
        <v>19.432999625796462</v>
      </c>
      <c r="G34" s="141">
        <f>+(('Income - Historical'!B36/'Income - Historical'!B35)-1)*100</f>
        <v>30.432999625796462</v>
      </c>
      <c r="H34" s="142">
        <f>+(('Income - Historical'!B36/'Income - Historical'!B31)^0.2-1)*100</f>
        <v>13.517677229020908</v>
      </c>
      <c r="I34" s="143">
        <f>+(('Income - Historical'!B36/'Income - Historical'!B26)^0.1-1)*100</f>
        <v>15.735856341041243</v>
      </c>
      <c r="J34" s="146">
        <v>43.181818181818187</v>
      </c>
      <c r="K34" s="147">
        <v>17.54709259979521</v>
      </c>
      <c r="L34" s="143">
        <f>+(('Income - Historical'!I36/'Income - Historical'!I26)^0.1-1)*100</f>
        <v>17.118287350880792</v>
      </c>
      <c r="M34" s="146">
        <f>+('Income - Historical'!M36/'Income - Historical'!M35-1)*100</f>
        <v>37.506002881383083</v>
      </c>
      <c r="N34" s="147">
        <f>+(('Income - Historical'!M36/'Income - Historical'!M31)^0.2-1)*100</f>
        <v>17.886364278800215</v>
      </c>
      <c r="O34" s="143">
        <f>+(('Income - Historical'!M36/'Income - Historical'!M26)^0.1-1)*100</f>
        <v>18.619615198433092</v>
      </c>
      <c r="P34" s="146">
        <v>28.186274509803933</v>
      </c>
      <c r="Q34" s="147">
        <f>+(('Income - Historical'!V36/'Income - Historical'!V31)^0.2-1)*100</f>
        <v>14.052938638153112</v>
      </c>
      <c r="R34" s="143">
        <f>+(('Income - Historical'!V36/'Income - Historical'!V26)^0.1-1)*100</f>
        <v>13.078756967010886</v>
      </c>
      <c r="S34" s="142">
        <f>('Cash Flow'!O36/'Cash Flow'!O35-1)*100</f>
        <v>49.89711934156378</v>
      </c>
      <c r="T34" s="147">
        <f>(('Cash Flow'!O36/'Cash Flow'!O31)^0.2-1)*100</f>
        <v>27.527901897186347</v>
      </c>
      <c r="U34" s="143">
        <f>(('Cash Flow'!O36/'Cash Flow'!O26)^0.1-1)*100</f>
        <v>30.591171487814407</v>
      </c>
      <c r="V34" s="147">
        <f>+('Income - Historical'!X36/'Income - Historical'!X35-1)*100</f>
        <v>17.391304347826097</v>
      </c>
      <c r="W34" s="142">
        <f>+(('Income - Historical'!X36/'Income - Historical'!X31)^0.2-1)*100</f>
        <v>11.032151746146003</v>
      </c>
      <c r="X34" s="143">
        <f>+(('Income - Historical'!X36/'Income - Historical'!X26)^0.1-1)*100</f>
        <v>15.738791441316891</v>
      </c>
      <c r="Y34" s="147">
        <f>+('Income - Historical'!Y36/'Income - Historical'!Y35-1)*100</f>
        <v>47.058823529411775</v>
      </c>
      <c r="Z34" s="142">
        <f>+(('Income - Historical'!Y36/'Income - Historical'!Y31)^0.2-1)*100</f>
        <v>33.300172903829782</v>
      </c>
      <c r="AA34" s="143">
        <f>+(('Income - Historical'!Y36/'Income - Historical'!Y26)^0.1-1)*100</f>
        <v>22.297999809998093</v>
      </c>
    </row>
    <row r="35" spans="1:29" ht="15.5" x14ac:dyDescent="0.35">
      <c r="A35" s="150">
        <v>1994</v>
      </c>
      <c r="B35" s="141">
        <f>+'Income - Historical'!C37/+'Income - Historical'!B37*100</f>
        <v>18.83644583176363</v>
      </c>
      <c r="C35" s="142">
        <f>+'Income - Historical'!I37/'Income - Historical'!B37*100</f>
        <v>10.726010440772834</v>
      </c>
      <c r="D35" s="143">
        <f>+'Income - Historical'!M37/'Income - Historical'!B37*100</f>
        <v>6.2106452828157801</v>
      </c>
      <c r="E35" s="146">
        <v>10.3</v>
      </c>
      <c r="F35" s="142">
        <f t="shared" si="0"/>
        <v>11.406949629920724</v>
      </c>
      <c r="G35" s="141">
        <f>+(('Income - Historical'!B37/'Income - Historical'!B36)-1)*100</f>
        <v>21.706949629920725</v>
      </c>
      <c r="H35" s="142">
        <f>+(('Income - Historical'!B37/'Income - Historical'!B32)^0.2-1)*100</f>
        <v>13.382237705059374</v>
      </c>
      <c r="I35" s="143">
        <f>+(('Income - Historical'!B37/'Income - Historical'!B27)^0.1-1)*100</f>
        <v>15.900930861817741</v>
      </c>
      <c r="J35" s="146">
        <v>31.812169312169324</v>
      </c>
      <c r="K35" s="147">
        <v>17.648247904440485</v>
      </c>
      <c r="L35" s="143">
        <f>+(('Income - Historical'!I37/'Income - Historical'!I27)^0.1-1)*100</f>
        <v>17.967248620391942</v>
      </c>
      <c r="M35" s="146">
        <f>+('Income - Historical'!M37/'Income - Historical'!M36-1)*100</f>
        <v>34.342258440046571</v>
      </c>
      <c r="N35" s="147">
        <f>+(('Income - Historical'!M37/'Income - Historical'!M32)^0.2-1)*100</f>
        <v>20.246115503041363</v>
      </c>
      <c r="O35" s="143">
        <f>+(('Income - Historical'!M37/'Income - Historical'!M27)^0.1-1)*100</f>
        <v>18.706592955634527</v>
      </c>
      <c r="P35" s="146">
        <v>32.88718929254302</v>
      </c>
      <c r="Q35" s="147">
        <f>+(('Income - Historical'!V37/'Income - Historical'!V32)^0.2-1)*100</f>
        <v>16.561856648855809</v>
      </c>
      <c r="R35" s="143">
        <f>+(('Income - Historical'!V37/'Income - Historical'!V27)^0.1-1)*100</f>
        <v>14.592575448015621</v>
      </c>
      <c r="S35" s="142">
        <f>('Cash Flow'!O37/'Cash Flow'!O36-1)*100</f>
        <v>18.737131091283477</v>
      </c>
      <c r="T35" s="147">
        <f>(('Cash Flow'!O37/'Cash Flow'!O32)^0.2-1)*100</f>
        <v>25.68708907279067</v>
      </c>
      <c r="U35" s="143">
        <f>(('Cash Flow'!O37/'Cash Flow'!O27)^0.1-1)*100</f>
        <v>21.05440955719331</v>
      </c>
      <c r="V35" s="147">
        <f>+('Income - Historical'!X37/'Income - Historical'!X36-1)*100</f>
        <v>14.814814814814813</v>
      </c>
      <c r="W35" s="142">
        <f>+(('Income - Historical'!X37/'Income - Historical'!X32)^0.2-1)*100</f>
        <v>10.876113172684065</v>
      </c>
      <c r="X35" s="143">
        <f>+(('Income - Historical'!X37/'Income - Historical'!X27)^0.1-1)*100</f>
        <v>15.495898923309825</v>
      </c>
      <c r="Y35" s="147">
        <f>+('Income - Historical'!Y37/'Income - Historical'!Y36-1)*100</f>
        <v>-30.000000000000004</v>
      </c>
      <c r="Z35" s="142">
        <f>+(('Income - Historical'!Y37/'Income - Historical'!Y32)^0.2-1)*100</f>
        <v>18.466445254224407</v>
      </c>
      <c r="AA35" s="143">
        <f>+(('Income - Historical'!Y37/'Income - Historical'!Y27)^0.1-1)*100</f>
        <v>18.743771865275338</v>
      </c>
    </row>
    <row r="36" spans="1:29" ht="15.5" x14ac:dyDescent="0.35">
      <c r="A36" s="152">
        <v>1995</v>
      </c>
      <c r="B36" s="153">
        <f>+'Income - Historical'!C38/+'Income - Historical'!B38*100</f>
        <v>19.696013208371777</v>
      </c>
      <c r="C36" s="154">
        <f>+'Income - Historical'!I38/'Income - Historical'!B38*100</f>
        <v>11.275676200650706</v>
      </c>
      <c r="D36" s="155">
        <f>+'Income - Historical'!M38/'Income - Historical'!B38*100</f>
        <v>6.5507696790171419</v>
      </c>
      <c r="E36" s="158">
        <v>1.8</v>
      </c>
      <c r="F36" s="154">
        <f t="shared" si="0"/>
        <v>9.0282654324309828</v>
      </c>
      <c r="G36" s="153">
        <f>+(('Income - Historical'!B38/'Income - Historical'!B37)-1)*100</f>
        <v>10.828265432430983</v>
      </c>
      <c r="H36" s="154">
        <f>+(('Income - Historical'!B38/'Income - Historical'!B33)^0.2-1)*100</f>
        <v>13.597387327604116</v>
      </c>
      <c r="I36" s="155">
        <f>+(('Income - Historical'!B38/'Income - Historical'!B28)^0.1-1)*100</f>
        <v>15.704703863949554</v>
      </c>
      <c r="J36" s="158">
        <v>16.507777220270924</v>
      </c>
      <c r="K36" s="159">
        <v>21.975540946693471</v>
      </c>
      <c r="L36" s="155">
        <f>+(('Income - Historical'!I38/'Income - Historical'!I28)^0.1-1)*100</f>
        <v>17.226995032116577</v>
      </c>
      <c r="M36" s="158">
        <f>+('Income - Historical'!M38/'Income - Historical'!M37-1)*100</f>
        <v>16.897746967071047</v>
      </c>
      <c r="N36" s="159">
        <f>+(('Income - Historical'!M38/'Income - Historical'!M33)^0.2-1)*100</f>
        <v>25.287026647121301</v>
      </c>
      <c r="O36" s="155">
        <f>+(('Income - Historical'!M38/'Income - Historical'!M28)^0.1-1)*100</f>
        <v>18.84774051587328</v>
      </c>
      <c r="P36" s="158">
        <v>14.388489208633114</v>
      </c>
      <c r="Q36" s="159">
        <f>+(('Income - Historical'!V38/'Income - Historical'!V33)^0.2-1)*100</f>
        <v>22.09556858288131</v>
      </c>
      <c r="R36" s="155">
        <f>+(('Income - Historical'!V38/'Income - Historical'!V28)^0.1-1)*100</f>
        <v>14.570734185652423</v>
      </c>
      <c r="S36" s="153">
        <f>('Cash Flow'!O38/'Cash Flow'!O37-1)*100</f>
        <v>17.456647398843916</v>
      </c>
      <c r="T36" s="159">
        <f>(('Cash Flow'!O38/'Cash Flow'!O33)^0.2-1)*100</f>
        <v>25.27003767399809</v>
      </c>
      <c r="U36" s="155">
        <f>(('Cash Flow'!O38/'Cash Flow'!O28)^0.1-1)*100</f>
        <v>22.733251881500436</v>
      </c>
      <c r="V36" s="158">
        <f>+('Income - Historical'!X38/'Income - Historical'!X37-1)*100</f>
        <v>22.580645161290324</v>
      </c>
      <c r="W36" s="154">
        <f>+(('Income - Historical'!X38/'Income - Historical'!X33)^0.2-1)*100</f>
        <v>12.593380967869239</v>
      </c>
      <c r="X36" s="155">
        <f>+(('Income - Historical'!X38/'Income - Historical'!X28)^0.1-1)*100</f>
        <v>16.375552168848607</v>
      </c>
      <c r="Y36" s="158">
        <f>+('Income - Historical'!Y38/'Income - Historical'!Y37-1)*100</f>
        <v>38.628571428571433</v>
      </c>
      <c r="Z36" s="154">
        <f>+(('Income - Historical'!Y38/'Income - Historical'!Y33)^0.2-1)*100</f>
        <v>29.738649296850351</v>
      </c>
      <c r="AA36" s="155">
        <f>+(('Income - Historical'!Y38/'Income - Historical'!Y28)^0.1-1)*100</f>
        <v>15.914589937144363</v>
      </c>
    </row>
    <row r="37" spans="1:29" ht="15.5" x14ac:dyDescent="0.35">
      <c r="A37" s="150">
        <v>1996</v>
      </c>
      <c r="B37" s="141">
        <f>+'Income - Historical'!C39/+'Income - Historical'!B39*100</f>
        <v>21.166166572054173</v>
      </c>
      <c r="C37" s="142">
        <f>+'Income - Historical'!I39/'Income - Historical'!B39*100</f>
        <v>12.419917281647882</v>
      </c>
      <c r="D37" s="143">
        <f>+'Income - Historical'!M39/'Income - Historical'!B39*100</f>
        <v>6.8688670829616427</v>
      </c>
      <c r="E37" s="146">
        <v>1.1000000000000001</v>
      </c>
      <c r="F37" s="142">
        <f>+G37-E37</f>
        <v>18.659141455834483</v>
      </c>
      <c r="G37" s="141">
        <f>+(('Income - Historical'!B39/'Income - Historical'!B38)-1)*100</f>
        <v>19.759141455834484</v>
      </c>
      <c r="H37" s="142">
        <f>+(('Income - Historical'!B39/'Income - Historical'!B34)^0.2-1)*100</f>
        <v>17.915976054833216</v>
      </c>
      <c r="I37" s="143">
        <f>+(('Income - Historical'!B39/'Income - Historical'!B29)^0.1-1)*100</f>
        <v>15.46127396035606</v>
      </c>
      <c r="J37" s="146">
        <v>31.912144702842383</v>
      </c>
      <c r="K37" s="147">
        <v>32.115103097266044</v>
      </c>
      <c r="L37" s="143">
        <f>+(('Income - Historical'!I39/'Income - Historical'!I29)^0.1-1)*100</f>
        <v>16.854452193840295</v>
      </c>
      <c r="M37" s="146">
        <f>+('Income - Historical'!M39/'Income - Historical'!M38-1)*100</f>
        <v>25.574499629355074</v>
      </c>
      <c r="N37" s="147">
        <f>+(('Income - Historical'!M39/'Income - Historical'!M34)^0.2-1)*100</f>
        <v>33.875490473830894</v>
      </c>
      <c r="O37" s="143">
        <f>+(('Income - Historical'!M39/'Income - Historical'!M29)^0.1-1)*100</f>
        <v>17.223618098789206</v>
      </c>
      <c r="P37" s="146">
        <v>16.35220125786163</v>
      </c>
      <c r="Q37" s="147">
        <f>+(('Income - Historical'!V39/'Income - Historical'!V34)^0.2-1)*100</f>
        <v>27.642651498817415</v>
      </c>
      <c r="R37" s="143">
        <f>+(('Income - Historical'!V39/'Income - Historical'!V29)^0.1-1)*100</f>
        <v>13.796997010712019</v>
      </c>
      <c r="S37" s="142">
        <f>('Cash Flow'!O39/'Cash Flow'!O38-1)*100</f>
        <v>17.175196850393704</v>
      </c>
      <c r="T37" s="147">
        <f>(('Cash Flow'!O39/'Cash Flow'!O34)^0.2-1)*100</f>
        <v>22.165975859531063</v>
      </c>
      <c r="U37" s="143">
        <f>(('Cash Flow'!O39/'Cash Flow'!O29)^0.1-1)*100</f>
        <v>19.495258571585428</v>
      </c>
      <c r="V37" s="147">
        <f>+('Income - Historical'!X39/'Income - Historical'!X38-1)*100</f>
        <v>21.052631578947366</v>
      </c>
      <c r="W37" s="142">
        <f>+(('Income - Historical'!X39/'Income - Historical'!X34)^0.2-1)*100</f>
        <v>16.429725715723919</v>
      </c>
      <c r="X37" s="143">
        <f>+(('Income - Historical'!X39/'Income - Historical'!X29)^0.1-1)*100</f>
        <v>16.486550074616211</v>
      </c>
      <c r="Y37" s="147">
        <f>+('Income - Historical'!Y39/'Income - Historical'!Y38-1)*100</f>
        <v>42.704039571310773</v>
      </c>
      <c r="Z37" s="142">
        <f>+(('Income - Historical'!Y39/'Income - Historical'!Y34)^0.2-1)*100</f>
        <v>29.624527229354602</v>
      </c>
      <c r="AA37" s="143">
        <f>+(('Income - Historical'!Y39/'Income - Historical'!Y29)^0.1-1)*100</f>
        <v>18.316174604526015</v>
      </c>
    </row>
    <row r="38" spans="1:29" ht="15.5" x14ac:dyDescent="0.35">
      <c r="A38" s="150">
        <v>1997</v>
      </c>
      <c r="B38" s="141">
        <f>+'Income - Historical'!C40/+'Income - Historical'!B40*100</f>
        <v>21.356386635501167</v>
      </c>
      <c r="C38" s="142">
        <f>+'Income - Historical'!I40/'Income - Historical'!B40*100</f>
        <v>12.549841880929465</v>
      </c>
      <c r="D38" s="143">
        <f>+'Income - Historical'!M40/'Income - Historical'!B40*100</f>
        <v>7.160043998350063</v>
      </c>
      <c r="E38" s="146">
        <v>5.3</v>
      </c>
      <c r="F38" s="142">
        <f>+G38-E38</f>
        <v>12.662857837969337</v>
      </c>
      <c r="G38" s="141">
        <f>+(('Income - Historical'!B40/'Income - Historical'!B39)-1)*100</f>
        <v>17.962857837969338</v>
      </c>
      <c r="H38" s="142">
        <f>+(('Income - Historical'!B40/'Income - Historical'!B35)^0.2-1)*100</f>
        <v>19.972434322237319</v>
      </c>
      <c r="I38" s="143">
        <f>+(('Income - Historical'!B40/'Income - Historical'!B30)^0.1-1)*100</f>
        <v>16.181370853060951</v>
      </c>
      <c r="J38" s="146">
        <v>19.196865817825671</v>
      </c>
      <c r="K38" s="147">
        <v>28.159139555350631</v>
      </c>
      <c r="L38" s="143">
        <f>+(('Income - Historical'!I40/'Income - Historical'!I30)^0.1-1)*100</f>
        <v>17.873147383870979</v>
      </c>
      <c r="M38" s="146">
        <f>+('Income - Historical'!M40/'Income - Historical'!M39-1)*100</f>
        <v>22.963400236127505</v>
      </c>
      <c r="N38" s="147">
        <f>+(('Income - Historical'!M40/'Income - Historical'!M35)^0.2-1)*100</f>
        <v>27.234108982835579</v>
      </c>
      <c r="O38" s="143">
        <f>+(('Income - Historical'!M40/'Income - Historical'!M30)^0.1-1)*100</f>
        <v>18.713939374339827</v>
      </c>
      <c r="P38" s="146">
        <v>16.756756756756765</v>
      </c>
      <c r="Q38" s="147">
        <f>+(('Income - Historical'!V40/'Income - Historical'!V35)^0.2-1)*100</f>
        <v>21.493409089334857</v>
      </c>
      <c r="R38" s="143">
        <f>+(('Income - Historical'!V40/'Income - Historical'!V30)^0.1-1)*100</f>
        <v>14.534914498545293</v>
      </c>
      <c r="S38" s="142">
        <f>('Cash Flow'!O40/'Cash Flow'!O39-1)*100</f>
        <v>21.083578328433461</v>
      </c>
      <c r="T38" s="147">
        <f>(('Cash Flow'!O40/'Cash Flow'!O35)^0.2-1)*100</f>
        <v>24.289853321264498</v>
      </c>
      <c r="U38" s="143">
        <f>(('Cash Flow'!O40/'Cash Flow'!O30)^0.1-1)*100</f>
        <v>22.516319732479651</v>
      </c>
      <c r="V38" s="147">
        <f>+('Income - Historical'!X40/'Income - Historical'!X39-1)*100</f>
        <v>17.391304347826097</v>
      </c>
      <c r="W38" s="142">
        <f>+(('Income - Historical'!X40/'Income - Historical'!X35)^0.2-1)*100</f>
        <v>18.613244273857667</v>
      </c>
      <c r="X38" s="143">
        <f>+(('Income - Historical'!X40/'Income - Historical'!X30)^0.1-1)*100</f>
        <v>14.452839686729547</v>
      </c>
      <c r="Y38" s="147">
        <f>+('Income - Historical'!Y40/'Income - Historical'!Y39-1)*100</f>
        <v>20.970537261698464</v>
      </c>
      <c r="Z38" s="142">
        <f>+(('Income - Historical'!Y40/'Income - Historical'!Y35)^0.2-1)*100</f>
        <v>19.759934642907105</v>
      </c>
      <c r="AA38" s="143">
        <f>+(('Income - Historical'!Y40/'Income - Historical'!Y30)^0.1-1)*100</f>
        <v>22.507985469278434</v>
      </c>
    </row>
    <row r="39" spans="1:29" ht="15.5" x14ac:dyDescent="0.35">
      <c r="A39" s="150">
        <v>1998</v>
      </c>
      <c r="B39" s="141">
        <f>+'Income - Historical'!C41/+'Income - Historical'!B41*100</f>
        <v>21.872774744837407</v>
      </c>
      <c r="C39" s="142">
        <f>+'Income - Historical'!I41/'Income - Historical'!B41*100</f>
        <v>12.731426536909565</v>
      </c>
      <c r="D39" s="143">
        <f>+'Income - Historical'!M41/'Income - Historical'!B41*100</f>
        <v>7.3581770709708048</v>
      </c>
      <c r="E39" s="146">
        <v>3.7</v>
      </c>
      <c r="F39" s="142">
        <f>+G39-E39</f>
        <v>12.153155506668504</v>
      </c>
      <c r="G39" s="141">
        <f>+(('Income - Historical'!B41/'Income - Historical'!B40)-1)*100</f>
        <v>15.853155506668504</v>
      </c>
      <c r="H39" s="142">
        <f>+(('Income - Historical'!B41/'Income - Historical'!B36)^0.2-1)*100</f>
        <v>17.161668570501121</v>
      </c>
      <c r="I39" s="143">
        <f>+(('Income - Historical'!B41/'Income - Historical'!B31)^0.1-1)*100</f>
        <v>15.325281167659277</v>
      </c>
      <c r="J39" s="146">
        <v>17.529443987948511</v>
      </c>
      <c r="K39" s="147">
        <v>23.197343903046928</v>
      </c>
      <c r="L39" s="143">
        <f>+(('Income - Historical'!I41/'Income - Historical'!I31)^0.1-1)*100</f>
        <v>20.33906095620106</v>
      </c>
      <c r="M39" s="146">
        <f>+('Income - Historical'!M41/'Income - Historical'!M40-1)*100</f>
        <v>19.059049447911658</v>
      </c>
      <c r="N39" s="147">
        <f>+(('Income - Historical'!M41/'Income - Historical'!M36)^0.2-1)*100</f>
        <v>23.620843733104291</v>
      </c>
      <c r="O39" s="143">
        <f>+(('Income - Historical'!M41/'Income - Historical'!M31)^0.1-1)*100</f>
        <v>20.719558551103766</v>
      </c>
      <c r="P39" s="146">
        <v>14.814814814814813</v>
      </c>
      <c r="Q39" s="147">
        <f>+(('Income - Historical'!V41/'Income - Historical'!V36)^0.2-1)*100</f>
        <v>18.845844017559934</v>
      </c>
      <c r="R39" s="143">
        <f>+(('Income - Historical'!V41/'Income - Historical'!V31)^0.1-1)*100</f>
        <v>16.424729998116284</v>
      </c>
      <c r="S39" s="142">
        <f>('Cash Flow'!O41/'Cash Flow'!O40-1)*100</f>
        <v>23.100936524453687</v>
      </c>
      <c r="T39" s="147">
        <f>(('Cash Flow'!O41/'Cash Flow'!O36)^0.2-1)*100</f>
        <v>19.48937499923451</v>
      </c>
      <c r="U39" s="143">
        <f>(('Cash Flow'!O41/'Cash Flow'!O31)^0.1-1)*100</f>
        <v>23.44322295151926</v>
      </c>
      <c r="V39" s="147">
        <f>+('Income - Historical'!X41/'Income - Historical'!X40-1)*100</f>
        <v>16.66666666666665</v>
      </c>
      <c r="W39" s="142">
        <f>+(('Income - Historical'!X41/'Income - Historical'!X36)^0.2-1)*100</f>
        <v>18.466445254224407</v>
      </c>
      <c r="X39" s="143">
        <f>+(('Income - Historical'!X41/'Income - Historical'!X31)^0.1-1)*100</f>
        <v>14.689076752293806</v>
      </c>
      <c r="Y39" s="147">
        <f>+('Income - Historical'!Y41/'Income - Historical'!Y40-1)*100</f>
        <v>5.0620821394460336</v>
      </c>
      <c r="Z39" s="142">
        <f>+(('Income - Historical'!Y41/'Income - Historical'!Y36)^0.2-1)*100</f>
        <v>11.970220528043152</v>
      </c>
      <c r="AA39" s="143">
        <f>+(('Income - Historical'!Y41/'Income - Historical'!Y31)^0.1-1)*100</f>
        <v>22.170576475958814</v>
      </c>
    </row>
    <row r="40" spans="1:29" ht="15.5" x14ac:dyDescent="0.35">
      <c r="A40" s="150">
        <v>1999</v>
      </c>
      <c r="B40" s="141">
        <f>+'Income - Historical'!C42/+'Income - Historical'!B42*100</f>
        <v>23.011378671606241</v>
      </c>
      <c r="C40" s="142">
        <f>+'Income - Historical'!I42/'Income - Historical'!B42*100</f>
        <v>13.297168563111935</v>
      </c>
      <c r="D40" s="143">
        <f>+'Income - Historical'!M42/'Income - Historical'!B42*100</f>
        <v>7.6872188409632187</v>
      </c>
      <c r="E40" s="146">
        <v>3.1</v>
      </c>
      <c r="F40" s="142">
        <f t="shared" si="0"/>
        <v>9.0231901258010989</v>
      </c>
      <c r="G40" s="141">
        <f>+(('Income - Historical'!B42/'Income - Historical'!B41)-1)*100</f>
        <v>12.123190125801099</v>
      </c>
      <c r="H40" s="142">
        <f>+(('Income - Historical'!B42/'Income - Historical'!B37)^0.2-1)*100</f>
        <v>15.255474151586345</v>
      </c>
      <c r="I40" s="143">
        <f>+(('Income - Historical'!B42/'Income - Historical'!B32)^0.1-1)*100</f>
        <v>14.315018991663964</v>
      </c>
      <c r="J40" s="146">
        <v>17.105569797250041</v>
      </c>
      <c r="K40" s="147">
        <v>20.316656152666155</v>
      </c>
      <c r="L40" s="143">
        <f>+(('Income - Historical'!I42/'Income - Historical'!I32)^0.1-1)*100</f>
        <v>18.974971275819996</v>
      </c>
      <c r="M40" s="146">
        <f>+('Income - Historical'!M42/'Income - Historical'!M41-1)*100</f>
        <v>17.137096774193552</v>
      </c>
      <c r="N40" s="147">
        <f>+(('Income - Historical'!M42/'Income - Historical'!M37)^0.2-1)*100</f>
        <v>20.278517234749494</v>
      </c>
      <c r="O40" s="143">
        <f>+(('Income - Historical'!M42/'Income - Historical'!M32)^0.1-1)*100</f>
        <v>20.262315277663934</v>
      </c>
      <c r="P40" s="146">
        <v>16.935483870967751</v>
      </c>
      <c r="Q40" s="147">
        <f>+(('Income - Historical'!V42/'Income - Historical'!V37)^0.2-1)*100</f>
        <v>15.844825452846379</v>
      </c>
      <c r="R40" s="143">
        <f>+(('Income - Historical'!V42/'Income - Historical'!V32)^0.1-1)*100</f>
        <v>16.202787995582966</v>
      </c>
      <c r="S40" s="142">
        <f>('Cash Flow'!O42/'Cash Flow'!O41-1)*100</f>
        <v>4.4801352493660129</v>
      </c>
      <c r="T40" s="147">
        <f>(('Cash Flow'!O42/'Cash Flow'!O37)^0.2-1)*100</f>
        <v>16.47124678451657</v>
      </c>
      <c r="U40" s="143">
        <f>(('Cash Flow'!O42/'Cash Flow'!O32)^0.1-1)*100</f>
        <v>20.991454115670983</v>
      </c>
      <c r="V40" s="147">
        <f>+('Income - Historical'!X42/'Income - Historical'!X41-1)*100</f>
        <v>14.285714285714279</v>
      </c>
      <c r="W40" s="142">
        <f>+(('Income - Historical'!X42/'Income - Historical'!X37)^0.2-1)*100</f>
        <v>18.357057768207685</v>
      </c>
      <c r="X40" s="143">
        <f>+(('Income - Historical'!X42/'Income - Historical'!X32)^0.1-1)*100</f>
        <v>14.555534706506879</v>
      </c>
      <c r="Y40" s="147">
        <f>+('Income - Historical'!Y42/'Income - Historical'!Y41-1)*100</f>
        <v>-2.5454545454545396</v>
      </c>
      <c r="Z40" s="142">
        <f>+(('Income - Historical'!Y42/'Income - Historical'!Y37)^0.2-1)*100</f>
        <v>19.630893277182725</v>
      </c>
      <c r="AA40" s="143">
        <f>+(('Income - Historical'!Y42/'Income - Historical'!Y32)^0.1-1)*100</f>
        <v>19.047245533591962</v>
      </c>
    </row>
    <row r="41" spans="1:29" ht="15.5" x14ac:dyDescent="0.35">
      <c r="A41" s="152">
        <v>2000</v>
      </c>
      <c r="B41" s="153">
        <f>+'Income - Historical'!C43/+'Income - Historical'!B43*100</f>
        <v>21.333863386572503</v>
      </c>
      <c r="C41" s="154">
        <f>+'Income - Historical'!I43/'Income - Historical'!B43*100</f>
        <v>11.243364590884642</v>
      </c>
      <c r="D41" s="155">
        <f>+'Income - Historical'!M43/'Income - Historical'!B43*100</f>
        <v>6.1758997263989901</v>
      </c>
      <c r="E41" s="158">
        <v>0.2</v>
      </c>
      <c r="F41" s="154">
        <f>+G41-E41</f>
        <v>12.959566022757341</v>
      </c>
      <c r="G41" s="153">
        <f>+(('Income - Historical'!B43/'Income - Historical'!B42)-1)*100</f>
        <v>13.159566022757341</v>
      </c>
      <c r="H41" s="154">
        <f>+(('Income - Historical'!B43/'Income - Historical'!B38)^0.2-1)*100</f>
        <v>15.73633063053428</v>
      </c>
      <c r="I41" s="155">
        <f>+(('Income - Historical'!B43/'Income - Historical'!B33)^0.1-1)*100</f>
        <v>14.661871511468249</v>
      </c>
      <c r="J41" s="158">
        <v>-4.3</v>
      </c>
      <c r="K41" s="159">
        <v>15.7</v>
      </c>
      <c r="L41" s="155">
        <f>+(('Income - Historical'!I43/'Income - Historical'!I33)^0.1-1)*100</f>
        <v>18.780897041483911</v>
      </c>
      <c r="M41" s="158">
        <f>+('Income - Historical'!M43/'Income - Historical'!M42-1)*100</f>
        <v>-9.0877796901893237</v>
      </c>
      <c r="N41" s="159">
        <f>+(('Income - Historical'!M43/'Income - Historical'!M38)^0.2-1)*100</f>
        <v>14.380315542691191</v>
      </c>
      <c r="O41" s="155">
        <f>+(('Income - Historical'!M43/'Income - Historical'!M33)^0.1-1)*100</f>
        <v>19.709521932481611</v>
      </c>
      <c r="P41" s="158">
        <v>-9</v>
      </c>
      <c r="Q41" s="159">
        <f>+(('Income - Historical'!V43/'Income - Historical'!V38)^0.2-1)*100</f>
        <v>10.672917952245363</v>
      </c>
      <c r="R41" s="155">
        <f>+(('Income - Historical'!V43/'Income - Historical'!V33)^0.1-1)*100</f>
        <v>16.244022831739468</v>
      </c>
      <c r="S41" s="153">
        <f>('Cash Flow'!O43/'Cash Flow'!O42-1)*100</f>
        <v>18.878101402373272</v>
      </c>
      <c r="T41" s="159">
        <f>(('Cash Flow'!O43/'Cash Flow'!O38)^0.2-1)*100</f>
        <v>16.751797714691307</v>
      </c>
      <c r="U41" s="155">
        <f>(('Cash Flow'!O43/'Cash Flow'!O33)^0.1-1)*100</f>
        <v>20.935942127336094</v>
      </c>
      <c r="V41" s="158">
        <f>+('Income - Historical'!X43/'Income - Historical'!X42-1)*100</f>
        <v>16.666666666666675</v>
      </c>
      <c r="W41" s="154">
        <f>+(('Income - Historical'!X43/'Income - Historical'!X38)^0.2-1)*100</f>
        <v>17.192316229445325</v>
      </c>
      <c r="X41" s="155">
        <f>+(('Income - Historical'!X43/'Income - Historical'!X33)^0.1-1)*100</f>
        <v>14.869835499703509</v>
      </c>
      <c r="Y41" s="158">
        <f>+('Income - Historical'!Y43/'Income - Historical'!Y42-1)*100</f>
        <v>-11.660447761194026</v>
      </c>
      <c r="Z41" s="154">
        <f>+(('Income - Historical'!Y43/'Income - Historical'!Y38)^0.2-1)*100</f>
        <v>9.3210601783245473</v>
      </c>
      <c r="AA41" s="155">
        <f>+(('Income - Historical'!Y43/'Income - Historical'!Y33)^0.1-1)*100</f>
        <v>19.093100922074925</v>
      </c>
      <c r="AB41" s="211"/>
      <c r="AC41" s="211"/>
    </row>
    <row r="42" spans="1:29" ht="15.5" x14ac:dyDescent="0.35">
      <c r="A42" s="303">
        <v>2001</v>
      </c>
      <c r="B42" s="141">
        <f>+'Income - Historical'!C44/+'Income - Historical'!B44*100</f>
        <v>19.857552627740773</v>
      </c>
      <c r="C42" s="142">
        <f>+'Income - Historical'!I44/'Income - Historical'!B44*100</f>
        <v>8.5371189654334181</v>
      </c>
      <c r="D42" s="143">
        <f>+'Income - Historical'!M44/'Income - Historical'!B44*100</f>
        <v>4.5602605863192185</v>
      </c>
      <c r="E42" s="142">
        <v>-9.3000000000000007</v>
      </c>
      <c r="F42" s="142">
        <f>+G42-E42</f>
        <v>5.499985969178959</v>
      </c>
      <c r="G42" s="141">
        <f>+(('Income - Historical'!B44/'Income - Historical'!B43)-1)*100</f>
        <v>-3.8000140308210417</v>
      </c>
      <c r="H42" s="142">
        <f>+(('Income - Historical'!B44/'Income - Historical'!B39)^0.2-1)*100</f>
        <v>10.775310516503488</v>
      </c>
      <c r="I42" s="143">
        <f>+(('Income - Historical'!B44/'Income - Historical'!B34)^0.1-1)*100</f>
        <v>14.289889589284055</v>
      </c>
      <c r="J42" s="147">
        <f>+('Income - Historical'!I44/'Income - Historical'!I43-1)*100</f>
        <v>-26.955074875207995</v>
      </c>
      <c r="K42" s="147">
        <f>+(('Income - Historical'!I44/'Income - Historical'!I39)^0.2-1)*100</f>
        <v>2.7735840568518189</v>
      </c>
      <c r="L42" s="143">
        <f>+(('Income - Historical'!I44/'Income - Historical'!I34)^0.1-1)*100</f>
        <v>16.524429427251498</v>
      </c>
      <c r="M42" s="146">
        <f>+('Income - Historical'!M44/'Income - Historical'!M43-1)*100</f>
        <v>-28.966300643695575</v>
      </c>
      <c r="N42" s="147">
        <f>+(('Income - Historical'!M44/'Income - Historical'!M39)^0.2-1)*100</f>
        <v>2.0619556131654893</v>
      </c>
      <c r="O42" s="143">
        <f>+(('Income - Historical'!M44/'Income - Historical'!M34)^0.1-1)*100</f>
        <v>16.891378494869702</v>
      </c>
      <c r="P42" s="147">
        <f>+('Income - Historical'!V44/'Income - Historical'!V43-1)*100</f>
        <v>-28.787878787878796</v>
      </c>
      <c r="Q42" s="147">
        <f>+(('Income - Historical'!V44/'Income - Historical'!V39)^0.2-1)*100</f>
        <v>0.32224083813610083</v>
      </c>
      <c r="R42" s="143">
        <f>+(('Income - Historical'!V44/'Income - Historical'!V34)^0.1-1)*100</f>
        <v>13.160933298036358</v>
      </c>
      <c r="S42" s="142">
        <f>('Cash Flow'!O44/'Cash Flow'!O43-1)*100</f>
        <v>21.256805807622481</v>
      </c>
      <c r="T42" s="147">
        <f>(('Cash Flow'!O44/'Cash Flow'!O39)^0.2-1)*100</f>
        <v>17.554068052294891</v>
      </c>
      <c r="U42" s="165">
        <f>(('Cash Flow'!O44/'Cash Flow'!O34)^0.1-1)*100</f>
        <v>19.837838097432027</v>
      </c>
      <c r="V42" s="147">
        <f>+('Income - Historical'!X44/'Income - Historical'!X43-1)*100</f>
        <v>14.285714285714279</v>
      </c>
      <c r="W42" s="142">
        <f>+(('Income - Historical'!X44/'Income - Historical'!X39)^0.2-1)*100</f>
        <v>15.851771835666174</v>
      </c>
      <c r="X42" s="143">
        <f>+(('Income - Historical'!X44/'Income - Historical'!X34)^0.1-1)*100</f>
        <v>16.140389264489908</v>
      </c>
      <c r="Y42" s="147">
        <f>+('Income - Historical'!Y44/'Income - Historical'!Y43-1)*100</f>
        <v>21.436114044350575</v>
      </c>
      <c r="Z42" s="142">
        <f>+(('Income - Historical'!Y44/'Income - Historical'!Y39)^0.2-1)*100</f>
        <v>5.8488523546331272</v>
      </c>
      <c r="AA42" s="143">
        <f>+(('Income - Historical'!Y44/'Income - Historical'!Y34)^0.1-1)*100</f>
        <v>17.134996667260282</v>
      </c>
      <c r="AB42" s="211"/>
      <c r="AC42" s="211"/>
    </row>
    <row r="43" spans="1:29" ht="15.5" x14ac:dyDescent="0.35">
      <c r="A43" s="166">
        <v>2002</v>
      </c>
      <c r="B43" s="141">
        <f>+'Income - Historical'!C45/+'Income - Historical'!B45*100</f>
        <v>19.235451097897844</v>
      </c>
      <c r="C43" s="142">
        <f>+'Income - Historical'!I45/'Income - Historical'!B45*100</f>
        <v>9.377779858607612</v>
      </c>
      <c r="D43" s="143">
        <f>+'Income - Historical'!M45/'Income - Historical'!B45*100</f>
        <v>5.4567161383959926</v>
      </c>
      <c r="E43" s="146">
        <v>0.7</v>
      </c>
      <c r="F43" s="142">
        <f t="shared" si="0"/>
        <v>3.1407311974330225</v>
      </c>
      <c r="G43" s="141">
        <f>+(('Income - Historical'!B45/'Income - Historical'!B44)-1)*100</f>
        <v>3.8407311974330227</v>
      </c>
      <c r="H43" s="142">
        <f>+(('Income - Historical'!B45/'Income - Historical'!B40)^0.2-1)*100</f>
        <v>7.9860030077353539</v>
      </c>
      <c r="I43" s="143">
        <f>+(('Income - Historical'!B45/'Income - Historical'!B35)^0.1-1)*100</f>
        <v>13.821543011709569</v>
      </c>
      <c r="J43" s="147">
        <f>+('Income - Historical'!I45/'Income - Historical'!I44-1)*100</f>
        <v>14.066059225512539</v>
      </c>
      <c r="K43" s="147">
        <f>+(('Income - Historical'!I45/'Income - Historical'!I40)^0.2-1)*100</f>
        <v>1.8731704780514669</v>
      </c>
      <c r="L43" s="143">
        <f>+(('Income - Historical'!I45/'Income - Historical'!I35)^0.1-1)*100</f>
        <v>14.262758028338451</v>
      </c>
      <c r="M43" s="146">
        <f>+('Income - Historical'!M45/'Income - Historical'!M44-1)*100</f>
        <v>24.25373134328359</v>
      </c>
      <c r="N43" s="147">
        <f>+(('Income - Historical'!M45/'Income - Historical'!M40)^0.2-1)*100</f>
        <v>2.2752620010244584</v>
      </c>
      <c r="O43" s="143">
        <f>+(('Income - Historical'!M45/'Income - Historical'!M35)^0.1-1)*100</f>
        <v>14.074106753839665</v>
      </c>
      <c r="P43" s="147">
        <f>+('Income - Historical'!V45/'Income - Historical'!V44-1)*100</f>
        <v>24.468085106382986</v>
      </c>
      <c r="Q43" s="147">
        <f>+(('Income - Historical'!V45/'Income - Historical'!V40)^0.2-1)*100</f>
        <v>1.6137364741595661</v>
      </c>
      <c r="R43" s="143">
        <f>+(('Income - Historical'!V45/'Income - Historical'!V35)^0.1-1)*100</f>
        <v>11.109852193902835</v>
      </c>
      <c r="S43" s="142">
        <f>('Cash Flow'!O45/'Cash Flow'!O44-1)*100</f>
        <v>-14.705332086061739</v>
      </c>
      <c r="T43" s="147">
        <f>(('Cash Flow'!O45/'Cash Flow'!O40)^0.2-1)*100</f>
        <v>9.5985958126098225</v>
      </c>
      <c r="U43" s="143">
        <f>(('Cash Flow'!O45/'Cash Flow'!O35)^0.1-1)*100</f>
        <v>16.713295719750064</v>
      </c>
      <c r="V43" s="147">
        <f>+('Income - Historical'!X45/'Income - Historical'!X44-1)*100</f>
        <v>4.1666666666666741</v>
      </c>
      <c r="W43" s="142">
        <f>+(('Income - Historical'!X45/'Income - Historical'!X40)^0.2-1)*100</f>
        <v>13.115273009052952</v>
      </c>
      <c r="X43" s="143">
        <f>+(('Income - Historical'!X45/'Income - Historical'!X35)^0.1-1)*100</f>
        <v>15.831642950132153</v>
      </c>
      <c r="Y43" s="147">
        <f>+('Income - Historical'!Y45/'Income - Historical'!Y44-1)*100</f>
        <v>-2.4347826086956514</v>
      </c>
      <c r="Z43" s="142">
        <f>+(('Income - Historical'!Y45/'Income - Historical'!Y40)^0.2-1)*100</f>
        <v>1.3932946268817803</v>
      </c>
      <c r="AA43" s="143">
        <f>+(('Income - Historical'!Y45/'Income - Historical'!Y35)^0.1-1)*100</f>
        <v>10.194620275875476</v>
      </c>
      <c r="AB43" s="211"/>
      <c r="AC43" s="211"/>
    </row>
    <row r="44" spans="1:29" ht="15.5" x14ac:dyDescent="0.35">
      <c r="A44" s="166">
        <v>2003</v>
      </c>
      <c r="B44" s="141">
        <f>+'Income - Historical'!C46/+'Income - Historical'!B46*100</f>
        <v>17.585798277197942</v>
      </c>
      <c r="C44" s="142">
        <f>+'Income - Historical'!I46/'Income - Historical'!B46*100</f>
        <v>8.0967139145891274</v>
      </c>
      <c r="D44" s="143">
        <f>+'Income - Historical'!M46/'Income - Historical'!B46*100</f>
        <v>4.6921288911170871</v>
      </c>
      <c r="E44" s="146">
        <v>1.2</v>
      </c>
      <c r="F44" s="142">
        <f>+G44-E44</f>
        <v>1.5248466688515327</v>
      </c>
      <c r="G44" s="141">
        <f>+(('Income - Historical'!B46/'Income - Historical'!B45)-1)*100</f>
        <v>2.7248466688515327</v>
      </c>
      <c r="H44" s="142">
        <f>+(('Income - Historical'!B46/'Income - Historical'!B41)^0.2-1)*100</f>
        <v>5.4195100374039518</v>
      </c>
      <c r="I44" s="143">
        <f>+(('Income - Historical'!B46/'Income - Historical'!B36)^0.1-1)*100</f>
        <v>11.135618484205768</v>
      </c>
      <c r="J44" s="147">
        <f>+('Income - Historical'!I46/'Income - Historical'!I45-1)*100</f>
        <v>-11.30803794308537</v>
      </c>
      <c r="K44" s="147">
        <f>+(('Income - Historical'!I46/'Income - Historical'!I41)^0.2-1)*100</f>
        <v>-3.7042015360930214</v>
      </c>
      <c r="L44" s="143">
        <f>+(('Income - Historical'!I46/'Income - Historical'!I36)^0.1-1)*100</f>
        <v>8.9191746194233978</v>
      </c>
      <c r="M44" s="146">
        <f>+('Income - Historical'!M46/'Income - Historical'!M45-1)*100</f>
        <v>-11.668811668811664</v>
      </c>
      <c r="N44" s="147">
        <f>+(('Income - Historical'!M46/'Income - Historical'!M41)^0.2-1)*100</f>
        <v>-3.6523928512998127</v>
      </c>
      <c r="O44" s="143">
        <f>+(('Income - Historical'!M46/'Income - Historical'!M36)^0.1-1)*100</f>
        <v>9.1355693043656103</v>
      </c>
      <c r="P44" s="147">
        <f>+('Income - Historical'!V46/'Income - Historical'!V45-1)*100</f>
        <v>-10.256410256410241</v>
      </c>
      <c r="Q44" s="147">
        <f>+(('Income - Historical'!V46/'Income - Historical'!V41)^0.2-1)*100</f>
        <v>-3.2717072013237147</v>
      </c>
      <c r="R44" s="143">
        <f>+(('Income - Historical'!V46/'Income - Historical'!V36)^0.1-1)*100</f>
        <v>7.2182614951219248</v>
      </c>
      <c r="S44" s="142">
        <f>('Cash Flow'!O46/'Cash Flow'!O45-1)*100</f>
        <v>-13.29238868172845</v>
      </c>
      <c r="T44" s="147">
        <f>(('Cash Flow'!O46/'Cash Flow'!O41)^0.2-1)*100</f>
        <v>2.1795917115531749</v>
      </c>
      <c r="U44" s="143">
        <f>(('Cash Flow'!O46/'Cash Flow'!O36)^0.1-1)*100</f>
        <v>10.496043147664125</v>
      </c>
      <c r="V44" s="147">
        <f>+('Income - Historical'!X46/'Income - Historical'!X45-1)*100</f>
        <v>8.0000000000000071</v>
      </c>
      <c r="W44" s="142">
        <f>+(('Income - Historical'!X46/'Income - Historical'!X41)^0.2-1)*100</f>
        <v>11.382417860287909</v>
      </c>
      <c r="X44" s="143">
        <f>+(('Income - Historical'!X46/'Income - Historical'!X36)^0.1-1)*100</f>
        <v>14.869835499703509</v>
      </c>
      <c r="Y44" s="147">
        <f>+('Income - Historical'!Y46/'Income - Historical'!Y45-1)*100</f>
        <v>-3.6096256684492123</v>
      </c>
      <c r="Z44" s="142">
        <f>+(('Income - Historical'!Y46/'Income - Historical'!Y41)^0.2-1)*100</f>
        <v>-0.33864955238921413</v>
      </c>
      <c r="AA44" s="143">
        <f>+(('Income - Historical'!Y46/'Income - Historical'!Y36)^0.1-1)*100</f>
        <v>5.636657405190415</v>
      </c>
      <c r="AB44" s="211"/>
      <c r="AC44" s="211"/>
    </row>
    <row r="45" spans="1:29" ht="15.5" x14ac:dyDescent="0.35">
      <c r="A45" s="166">
        <v>2004</v>
      </c>
      <c r="B45" s="141">
        <f>+'Income - Historical'!C47/+'Income - Historical'!B47*100</f>
        <v>18.00806213744961</v>
      </c>
      <c r="C45" s="142">
        <f>+'Income - Historical'!I47/'Income - Historical'!B47*100</f>
        <v>9.0787533182577906</v>
      </c>
      <c r="D45" s="143">
        <f>+'Income - Historical'!M47/'Income - Historical'!B47*100</f>
        <v>5.612034214924785</v>
      </c>
      <c r="E45" s="146">
        <v>11.6</v>
      </c>
      <c r="F45" s="142">
        <f>+G45-E45</f>
        <v>4.2903422815733112</v>
      </c>
      <c r="G45" s="141">
        <f>+(('Income - Historical'!B47/'Income - Historical'!B46)-1)*100</f>
        <v>15.890342281573311</v>
      </c>
      <c r="H45" s="142">
        <f>+(('Income - Historical'!B47/'Income - Historical'!B42)^0.2-1)*100</f>
        <v>6.1185612837973524</v>
      </c>
      <c r="I45" s="143">
        <f>+(('Income - Historical'!B47/'Income - Historical'!B37)^0.1-1)*100</f>
        <v>10.592699112772518</v>
      </c>
      <c r="J45" s="147">
        <f>+('Income - Historical'!I47/'Income - Historical'!I46-1)*100</f>
        <v>29.946524064171108</v>
      </c>
      <c r="K45" s="147">
        <f>+(('Income - Historical'!I47/'Income - Historical'!I42)^0.2-1)*100</f>
        <v>-1.6793453197206265</v>
      </c>
      <c r="L45" s="143">
        <f>+(('Income - Historical'!I47/'Income - Historical'!I37)^0.1-1)*100</f>
        <v>8.7640216334068821</v>
      </c>
      <c r="M45" s="146">
        <f>+('Income - Historical'!M47/'Income - Historical'!M46-1)*100</f>
        <v>38.610976202039815</v>
      </c>
      <c r="N45" s="147">
        <f>+(('Income - Historical'!M47/'Income - Historical'!M42)^0.2-1)*100</f>
        <v>-0.35361074441572216</v>
      </c>
      <c r="O45" s="143">
        <f>+(('Income - Historical'!M47/'Income - Historical'!M37)^0.1-1)*100</f>
        <v>9.4774860300434138</v>
      </c>
      <c r="P45" s="147">
        <f>+('Income - Historical'!V47/'Income - Historical'!V46-1)*100</f>
        <v>38.095238095238095</v>
      </c>
      <c r="Q45" s="147">
        <f>+(('Income - Historical'!V47/'Income - Historical'!V42)^0.2-1)*100</f>
        <v>0</v>
      </c>
      <c r="R45" s="143">
        <f>+(('Income - Historical'!V47/'Income - Historical'!V37)^0.1-1)*100</f>
        <v>7.6312340600285022</v>
      </c>
      <c r="S45" s="142">
        <f>('Cash Flow'!O47/'Cash Flow'!O46-1)*100</f>
        <v>-13.356944093093858</v>
      </c>
      <c r="T45" s="147">
        <f>(('Cash Flow'!O47/'Cash Flow'!O42)^0.2-1)*100</f>
        <v>-1.5752840580371297</v>
      </c>
      <c r="U45" s="143">
        <f>(('Cash Flow'!O47/'Cash Flow'!O37)^0.1-1)*100</f>
        <v>7.0684331638989573</v>
      </c>
      <c r="V45" s="147">
        <f>+('Income - Historical'!X47/'Income - Historical'!X46-1)*100</f>
        <v>7.4074074074073959</v>
      </c>
      <c r="W45" s="142">
        <f>+(('Income - Historical'!X47/'Income - Historical'!X42)^0.2-1)*100</f>
        <v>10.008210113886594</v>
      </c>
      <c r="X45" s="143">
        <f>+(('Income - Historical'!X47/'Income - Historical'!X37)^0.1-1)*100</f>
        <v>14.106301663958964</v>
      </c>
      <c r="Y45" s="147">
        <f>+('Income - Historical'!Y47/'Income - Historical'!Y46-1)*100</f>
        <v>31.437817845584838</v>
      </c>
      <c r="Z45" s="142">
        <f>+(('Income - Historical'!Y47/'Income - Historical'!Y42)^0.2-1)*100</f>
        <v>5.8060291272215458</v>
      </c>
      <c r="AA45" s="143">
        <f>+(('Income - Historical'!Y47/'Income - Historical'!Y37)^0.1-1)*100</f>
        <v>12.506309950158489</v>
      </c>
      <c r="AB45" s="211"/>
      <c r="AC45" s="211"/>
    </row>
    <row r="46" spans="1:29" ht="15.5" x14ac:dyDescent="0.35">
      <c r="A46" s="152">
        <v>2005</v>
      </c>
      <c r="B46" s="153">
        <f>+'Income - Historical'!C48/+'Income - Historical'!B48*100</f>
        <v>17.224916498405449</v>
      </c>
      <c r="C46" s="154">
        <f>+'Income - Historical'!I48/'Income - Historical'!B48*100</f>
        <v>7.4764591549827317</v>
      </c>
      <c r="D46" s="155">
        <f>+'Income - Historical'!M48/'Income - Historical'!B48*100</f>
        <v>4.7421357537787996</v>
      </c>
      <c r="E46" s="158">
        <v>2.1</v>
      </c>
      <c r="F46" s="154">
        <f>+G46-E46</f>
        <v>2.104109723724314</v>
      </c>
      <c r="G46" s="153">
        <f>+(('Income - Historical'!B48/'Income - Historical'!B47)-1)*100</f>
        <v>4.2041097237243141</v>
      </c>
      <c r="H46" s="154">
        <f>+(('Income - Historical'!B48/'Income - Historical'!B43)^0.2-1)*100</f>
        <v>4.3830706020382637</v>
      </c>
      <c r="I46" s="155">
        <f>+(('Income - Historical'!B48/'Income - Historical'!B38)^0.1-1)*100</f>
        <v>9.91320926725734</v>
      </c>
      <c r="J46" s="158">
        <f>+('Income - Historical'!I48/'Income - Historical'!I47-1)*100</f>
        <v>-14.186701321204254</v>
      </c>
      <c r="K46" s="159">
        <f>+(('Income - Historical'!I48/'Income - Historical'!I43)^0.2-1)*100</f>
        <v>-3.7966927290341346</v>
      </c>
      <c r="L46" s="155">
        <f>+(('Income - Historical'!I48/'Income - Historical'!I38)^0.1-1)*100</f>
        <v>5.4885263987979993</v>
      </c>
      <c r="M46" s="158">
        <f>+('Income - Historical'!M48/'Income - Historical'!M47-1)*100</f>
        <v>-11.948142957252994</v>
      </c>
      <c r="N46" s="159">
        <f>+(('Income - Historical'!M48/'Income - Historical'!M43)^0.2-1)*100</f>
        <v>-0.98868752434893015</v>
      </c>
      <c r="O46" s="155">
        <f>+(('Income - Historical'!M48/'Income - Historical'!M38)^0.1-1)*100</f>
        <v>6.4187256231767131</v>
      </c>
      <c r="P46" s="158">
        <f>+('Income - Historical'!V48/'Income - Historical'!V47-1)*100</f>
        <v>-10.468632402125177</v>
      </c>
      <c r="Q46" s="159">
        <f>+(('Income - Historical'!V48/'Income - Historical'!V43)^0.2-1)*100</f>
        <v>-0.33243274114380661</v>
      </c>
      <c r="R46" s="155">
        <f>+(('Income - Historical'!V48/'Income - Historical'!V38)^0.1-1)*100</f>
        <v>5.0261895611722451</v>
      </c>
      <c r="S46" s="153">
        <f>('Cash Flow'!O48/'Cash Flow'!O47-1)*100</f>
        <v>30.89051094890516</v>
      </c>
      <c r="T46" s="159">
        <f>(('Cash Flow'!O48/'Cash Flow'!O43)^0.2-1)*100</f>
        <v>0.33799779513150607</v>
      </c>
      <c r="U46" s="155">
        <f>(('Cash Flow'!O48/'Cash Flow'!O38)^0.1-1)*100</f>
        <v>8.2341980229647014</v>
      </c>
      <c r="V46" s="158">
        <f>+('Income - Historical'!X48/'Income - Historical'!X47-1)*100</f>
        <v>8.6206896551724199</v>
      </c>
      <c r="W46" s="154">
        <f>+(('Income - Historical'!X48/'Income - Historical'!X43)^0.2-1)*100</f>
        <v>8.4471771197698544</v>
      </c>
      <c r="X46" s="155">
        <f>+(('Income - Historical'!X48/'Income - Historical'!X38)^0.1-1)*100</f>
        <v>12.734980707900689</v>
      </c>
      <c r="Y46" s="158">
        <f>+('Income - Historical'!Y48/'Income - Historical'!Y47-1)*100</f>
        <v>-19.240239183960604</v>
      </c>
      <c r="Z46" s="154">
        <f>+(('Income - Historical'!Y48/'Income - Historical'!Y43)^0.2-1)*100</f>
        <v>3.9246048350921825</v>
      </c>
      <c r="AA46" s="155">
        <f>+(('Income - Historical'!Y48/'Income - Historical'!Y38)^0.1-1)*100</f>
        <v>6.5886859811383092</v>
      </c>
      <c r="AB46" s="211"/>
      <c r="AC46" s="211"/>
    </row>
    <row r="47" spans="1:29" ht="16" thickBot="1" x14ac:dyDescent="0.4">
      <c r="A47" s="199">
        <v>2006</v>
      </c>
      <c r="B47" s="221">
        <f>+'Income - Historical'!C49/+'Income - Historical'!B49*100</f>
        <v>18.134922076506705</v>
      </c>
      <c r="C47" s="364">
        <f>+'Income - Historical'!I49/'Income - Historical'!B49*100</f>
        <v>8.7550405056853275</v>
      </c>
      <c r="D47" s="365">
        <f>+'Income - Historical'!M49/'Income - Historical'!B49*100</f>
        <v>5.4546445308242824</v>
      </c>
      <c r="E47" s="169">
        <v>0.4</v>
      </c>
      <c r="F47" s="167">
        <f>+G47-E47</f>
        <v>3.4891929122714109</v>
      </c>
      <c r="G47" s="378">
        <f>+(('Income - Historical'!B49/'Income - Historical'!B48)-1)*100</f>
        <v>3.8891929122714108</v>
      </c>
      <c r="H47" s="167">
        <f>+(('Income - Historical'!B49/'Income - Historical'!B44)^0.2-1)*100</f>
        <v>6.0007995095037181</v>
      </c>
      <c r="I47" s="168">
        <f>+(('Income - Historical'!B49/'Income - Historical'!B39)^0.1-1)*100</f>
        <v>8.3617620780638049</v>
      </c>
      <c r="J47" s="366">
        <f>+('Income - Historical'!I49/'Income - Historical'!I48-1)*100</f>
        <v>21.655729429581051</v>
      </c>
      <c r="K47" s="367">
        <f>+(('Income - Historical'!I49/'Income - Historical'!I44)^0.2-1)*100</f>
        <v>6.5365199231752102</v>
      </c>
      <c r="L47" s="365">
        <f>+(('Income - Historical'!I49/'Income - Historical'!I39)^0.1-1)*100</f>
        <v>4.6381382931143023</v>
      </c>
      <c r="M47" s="169">
        <f>+('Income - Historical'!M49/'Income - Historical'!M48-1)*100</f>
        <v>19.498607242339872</v>
      </c>
      <c r="N47" s="170">
        <f>+(('Income - Historical'!M49/'Income - Historical'!M44)^0.2-1)*100</f>
        <v>9.8663001855121344</v>
      </c>
      <c r="O47" s="168">
        <f>+(('Income - Historical'!M49/'Income - Historical'!M39)^0.1-1)*100</f>
        <v>5.8922539797716</v>
      </c>
      <c r="P47" s="366">
        <f>+('Income - Historical'!V49/'Income - Historical'!V48-1)*100</f>
        <v>23.832670754475039</v>
      </c>
      <c r="Q47" s="367">
        <f>+(('Income - Historical'!V49/'Income - Historical'!V44)^0.2-1)*100</f>
        <v>11.329464819050417</v>
      </c>
      <c r="R47" s="365">
        <f>+(('Income - Historical'!V49/'Income - Historical'!V39)^0.1-1)*100</f>
        <v>5.6826446582293633</v>
      </c>
      <c r="S47" s="167">
        <f>('Cash Flow'!O49/'Cash Flow'!O48-1)*100</f>
        <v>6.8257863038143851</v>
      </c>
      <c r="T47" s="170">
        <f>(('Cash Flow'!O49/'Cash Flow'!O44)^0.2-1)*100</f>
        <v>-2.1728445717822953</v>
      </c>
      <c r="U47" s="168">
        <f>(('Cash Flow'!O49/'Cash Flow'!O39)^0.1-1)*100</f>
        <v>7.2379601007550587</v>
      </c>
      <c r="V47" s="366">
        <f>+('Income - Historical'!X49/'Income - Historical'!X48-1)*100</f>
        <v>6.3492063492063489</v>
      </c>
      <c r="W47" s="364">
        <f>+(('Income - Historical'!X49/'Income - Historical'!X44)^0.2-1)*100</f>
        <v>6.8972943582217727</v>
      </c>
      <c r="X47" s="365">
        <f>+(('Income - Historical'!X49/'Income - Historical'!X39)^0.1-1)*100</f>
        <v>11.284504563028698</v>
      </c>
      <c r="Y47" s="169">
        <f>+('Income - Historical'!Y49/'Income - Historical'!Y48-1)*100</f>
        <v>4.0940766550522589</v>
      </c>
      <c r="Z47" s="167">
        <f>+(('Income - Historical'!Y49/'Income - Historical'!Y44)^0.2-1)*100</f>
        <v>0.77063911534009932</v>
      </c>
      <c r="AA47" s="168">
        <f>+(('Income - Historical'!Y49/'Income - Historical'!Y39)^0.1-1)*100</f>
        <v>3.2785384356384561</v>
      </c>
      <c r="AB47" s="211"/>
      <c r="AC47" s="211"/>
    </row>
    <row r="48" spans="1:29" ht="6" customHeight="1" thickTop="1" x14ac:dyDescent="0.25">
      <c r="A48" s="19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215"/>
      <c r="Q48" s="215"/>
      <c r="R48" s="215"/>
      <c r="S48" s="215"/>
      <c r="T48" s="90"/>
      <c r="U48" s="216"/>
      <c r="V48" s="217"/>
      <c r="W48" s="217"/>
      <c r="X48" s="217"/>
      <c r="Y48" s="215"/>
    </row>
    <row r="49" spans="1:27" ht="15" customHeight="1" x14ac:dyDescent="0.25">
      <c r="A49" s="171"/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2"/>
      <c r="W49" s="171"/>
      <c r="X49" s="171"/>
      <c r="Y49" s="171"/>
      <c r="Z49" s="171"/>
      <c r="AA49" s="171"/>
    </row>
    <row r="50" spans="1:27" ht="15" x14ac:dyDescent="0.3">
      <c r="A50" s="408" t="s">
        <v>251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5"/>
      <c r="W50" s="174"/>
      <c r="X50" s="174"/>
      <c r="Y50" s="174"/>
      <c r="Z50" s="174"/>
      <c r="AA50" s="174"/>
    </row>
    <row r="51" spans="1:27" ht="14.5" x14ac:dyDescent="0.25">
      <c r="A51" s="173"/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6"/>
      <c r="W51" s="174"/>
      <c r="X51" s="174"/>
      <c r="Y51" s="174"/>
      <c r="Z51" s="174"/>
      <c r="AA51" s="174"/>
    </row>
    <row r="52" spans="1:27" ht="13" x14ac:dyDescent="0.3">
      <c r="A52" s="251"/>
    </row>
    <row r="53" spans="1:27" ht="13" x14ac:dyDescent="0.3">
      <c r="A53" s="6"/>
      <c r="V53"/>
    </row>
  </sheetData>
  <mergeCells count="14">
    <mergeCell ref="A4:A6"/>
    <mergeCell ref="B4:D4"/>
    <mergeCell ref="B5:B6"/>
    <mergeCell ref="D5:D6"/>
    <mergeCell ref="G5:I5"/>
    <mergeCell ref="G4:AA4"/>
    <mergeCell ref="E4:F4"/>
    <mergeCell ref="E5:F5"/>
    <mergeCell ref="M5:O5"/>
    <mergeCell ref="V5:X5"/>
    <mergeCell ref="Y5:AA5"/>
    <mergeCell ref="J5:L5"/>
    <mergeCell ref="P5:R5"/>
    <mergeCell ref="S5:U5"/>
  </mergeCells>
  <phoneticPr fontId="0" type="noConversion"/>
  <printOptions horizontalCentered="1"/>
  <pageMargins left="0.55000000000000004" right="0.3" top="0.4" bottom="0.25" header="0.5" footer="0.5"/>
  <pageSetup scale="54" fitToHeight="2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B413-6AD1-4763-8A99-677934EFF245}">
  <dimension ref="A1:AC50"/>
  <sheetViews>
    <sheetView zoomScaleNormal="100" zoomScaleSheetLayoutView="90" workbookViewId="0">
      <pane xSplit="1" ySplit="12" topLeftCell="B23" activePane="bottomRight" state="frozen"/>
      <selection activeCell="E45" sqref="E45"/>
      <selection pane="topRight" activeCell="E45" sqref="E45"/>
      <selection pane="bottomLeft" activeCell="E45" sqref="E45"/>
      <selection pane="bottomRight" activeCell="E45" sqref="E45"/>
    </sheetView>
  </sheetViews>
  <sheetFormatPr defaultRowHeight="12.5" x14ac:dyDescent="0.25"/>
  <cols>
    <col min="1" max="1" width="10.1796875" customWidth="1"/>
    <col min="2" max="2" width="9.54296875" customWidth="1"/>
    <col min="3" max="3" width="8.81640625" bestFit="1" customWidth="1"/>
    <col min="4" max="4" width="10.453125" customWidth="1"/>
    <col min="5" max="5" width="8.453125" bestFit="1" customWidth="1"/>
    <col min="6" max="6" width="10.7265625" bestFit="1" customWidth="1"/>
    <col min="7" max="9" width="9.26953125" bestFit="1" customWidth="1"/>
    <col min="10" max="10" width="8.81640625" bestFit="1" customWidth="1"/>
    <col min="11" max="11" width="8.7265625" bestFit="1" customWidth="1"/>
    <col min="12" max="12" width="6.81640625" customWidth="1"/>
    <col min="13" max="13" width="8.7265625" bestFit="1" customWidth="1"/>
    <col min="14" max="14" width="9" bestFit="1" customWidth="1"/>
    <col min="15" max="15" width="9.26953125" bestFit="1" customWidth="1"/>
    <col min="16" max="17" width="8.7265625" bestFit="1" customWidth="1"/>
    <col min="18" max="18" width="7.1796875" customWidth="1"/>
    <col min="19" max="19" width="9.26953125" bestFit="1" customWidth="1"/>
    <col min="20" max="20" width="8.7265625" bestFit="1" customWidth="1"/>
    <col min="21" max="21" width="7.1796875" customWidth="1"/>
    <col min="22" max="22" width="8.7265625" style="34" bestFit="1" customWidth="1"/>
    <col min="23" max="23" width="9.26953125" bestFit="1" customWidth="1"/>
    <col min="24" max="24" width="10.453125" bestFit="1" customWidth="1"/>
    <col min="25" max="25" width="8.81640625" bestFit="1" customWidth="1"/>
    <col min="27" max="27" width="7.54296875" customWidth="1"/>
  </cols>
  <sheetData>
    <row r="1" spans="1:27" s="220" customFormat="1" ht="30" x14ac:dyDescent="0.6">
      <c r="A1" s="420" t="s">
        <v>366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424"/>
      <c r="W1" s="219"/>
      <c r="X1" s="219"/>
      <c r="Y1" s="219"/>
      <c r="Z1" s="219"/>
      <c r="AA1" s="219"/>
    </row>
    <row r="2" spans="1:27" s="220" customFormat="1" ht="23" x14ac:dyDescent="0.5">
      <c r="A2" s="425" t="s">
        <v>355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424"/>
      <c r="W2" s="219"/>
      <c r="X2" s="219"/>
      <c r="Y2" s="219"/>
      <c r="Z2" s="219"/>
      <c r="AA2" s="219"/>
    </row>
    <row r="4" spans="1:27" ht="17.5" x14ac:dyDescent="0.35">
      <c r="B4" s="13"/>
      <c r="C4" s="13"/>
      <c r="F4" s="590" t="s">
        <v>101</v>
      </c>
      <c r="G4" s="595" t="s">
        <v>281</v>
      </c>
      <c r="H4" s="596"/>
      <c r="I4" s="600"/>
      <c r="J4" s="596"/>
      <c r="K4" s="596"/>
      <c r="L4" s="600"/>
      <c r="M4" s="596"/>
      <c r="N4" s="596"/>
      <c r="O4" s="600"/>
      <c r="P4" s="596"/>
      <c r="Q4" s="596"/>
      <c r="R4" s="600"/>
      <c r="S4" s="600"/>
      <c r="T4" s="600"/>
      <c r="U4" s="600"/>
      <c r="V4" s="596"/>
      <c r="W4" s="596"/>
      <c r="X4" s="600"/>
      <c r="Y4" s="596"/>
      <c r="Z4" s="596"/>
      <c r="AA4" s="601"/>
    </row>
    <row r="5" spans="1:27" ht="13" x14ac:dyDescent="0.3">
      <c r="B5" s="13"/>
      <c r="C5" s="13"/>
      <c r="F5" s="594"/>
      <c r="G5" s="598" t="s">
        <v>16</v>
      </c>
      <c r="H5" s="599"/>
      <c r="I5" s="82"/>
      <c r="J5" s="598" t="s">
        <v>32</v>
      </c>
      <c r="K5" s="599"/>
      <c r="L5" s="82"/>
      <c r="M5" s="598" t="s">
        <v>33</v>
      </c>
      <c r="N5" s="599"/>
      <c r="O5" s="82"/>
      <c r="P5" s="527" t="s">
        <v>34</v>
      </c>
      <c r="Q5" s="530"/>
      <c r="R5" s="80"/>
      <c r="S5" s="527" t="s">
        <v>75</v>
      </c>
      <c r="T5" s="530"/>
      <c r="U5" s="80"/>
      <c r="V5" s="527" t="s">
        <v>35</v>
      </c>
      <c r="W5" s="530"/>
      <c r="X5" s="82"/>
      <c r="Y5" s="598" t="s">
        <v>206</v>
      </c>
      <c r="Z5" s="599"/>
      <c r="AA5" s="82"/>
    </row>
    <row r="6" spans="1:27" ht="13.5" customHeight="1" x14ac:dyDescent="0.3">
      <c r="B6" s="13"/>
      <c r="C6" s="13"/>
      <c r="F6" s="591"/>
      <c r="G6" s="40" t="s">
        <v>122</v>
      </c>
      <c r="H6" s="41" t="s">
        <v>213</v>
      </c>
      <c r="I6" s="72"/>
      <c r="J6" s="40" t="s">
        <v>122</v>
      </c>
      <c r="K6" s="41" t="s">
        <v>213</v>
      </c>
      <c r="L6" s="72"/>
      <c r="M6" s="40" t="s">
        <v>122</v>
      </c>
      <c r="N6" s="41" t="s">
        <v>213</v>
      </c>
      <c r="O6" s="72"/>
      <c r="P6" s="40" t="s">
        <v>122</v>
      </c>
      <c r="Q6" s="41" t="s">
        <v>213</v>
      </c>
      <c r="R6" s="80"/>
      <c r="S6" s="40" t="s">
        <v>122</v>
      </c>
      <c r="T6" s="41" t="s">
        <v>213</v>
      </c>
      <c r="U6" s="80"/>
      <c r="V6" s="40" t="s">
        <v>122</v>
      </c>
      <c r="W6" s="41" t="s">
        <v>213</v>
      </c>
      <c r="X6" s="72"/>
      <c r="Y6" s="40" t="s">
        <v>122</v>
      </c>
      <c r="Z6" s="41" t="s">
        <v>213</v>
      </c>
      <c r="AA6" s="82"/>
    </row>
    <row r="7" spans="1:27" ht="16" thickBot="1" x14ac:dyDescent="0.4">
      <c r="B7" s="13"/>
      <c r="C7" s="13"/>
      <c r="F7" s="49">
        <v>2025</v>
      </c>
      <c r="G7" s="255">
        <f>+(('Income - Continuing Ops'!$B62/'Income - Historical'!$B48)^(1/20)-1)*100</f>
        <v>-1.3290855508542254</v>
      </c>
      <c r="H7" s="413">
        <f>+(('Income - Continuing Ops'!$B62/'Income - Historical'!$B18)^(1/50)-1)*100</f>
        <v>7.7228005835814351</v>
      </c>
      <c r="I7" s="254"/>
      <c r="J7" s="255">
        <f>+(('Income - Continuing Ops'!$F62/'Income - Historical'!$I48)^(1/20)-1)*100</f>
        <v>-2.0298426105679779</v>
      </c>
      <c r="K7" s="413">
        <f>+(('Income - Continuing Ops'!$F62/'Income - Historical'!$I18)^(1/50)-1)*100</f>
        <v>7.0635015041917715</v>
      </c>
      <c r="L7" s="254"/>
      <c r="M7" s="255">
        <f>+(('Income - Continuing Ops'!$N62/'Income - Historical'!$M48)^(1/20)-1)*100</f>
        <v>-2.6820078250211488</v>
      </c>
      <c r="N7" s="413">
        <f>+(('Income - Continuing Ops'!$N62/'Income - Historical'!$M18)^(1/50)-1)*100</f>
        <v>7.9187870350634793</v>
      </c>
      <c r="O7" s="254"/>
      <c r="P7" s="255">
        <f>+(('Income - Continuing Ops'!$W62/'Income - Historical'!$V48)^(1/20)-1)*100</f>
        <v>-1.0347528126801397</v>
      </c>
      <c r="Q7" s="413">
        <f>+(('Income - Continuing Ops'!$W62/'Income - Historical'!$V18)^(1/50)-1)*100</f>
        <v>7.1100868776912574</v>
      </c>
      <c r="R7" s="254"/>
      <c r="S7" s="255">
        <f>+(('Cash Flow (2)'!O19/'Cash Flow'!O48)^(1/20)-1)*100</f>
        <v>-1.3992443617414585</v>
      </c>
      <c r="T7" s="255">
        <f>+(('Cash Flow (2)'!O19/'Cash Flow'!O18)^(1/50)-1)*100</f>
        <v>7.2746347681712953</v>
      </c>
      <c r="U7" s="44"/>
      <c r="V7" s="255">
        <f>+(('Income - Continuing Ops'!$Y62/'Income - Historical'!$X48)^(1/20)-1)*100</f>
        <v>-5.575548159357913</v>
      </c>
      <c r="W7" s="413">
        <f>+(('Income - Continuing Ops'!$Y62/'Income - Historical'!$X18)^(1/50)-1)*100</f>
        <v>6.4223389900256445</v>
      </c>
      <c r="X7" s="256"/>
      <c r="Y7" s="255">
        <f>+(('Income - Continuing Ops'!$Z62/'Income - Historical'!$Y48)^(1/20)-1)*100</f>
        <v>-3.6124281048875329</v>
      </c>
      <c r="Z7" s="413">
        <f>+(('Income - Continuing Ops'!$Z62/'Income - Historical'!$Y18)^(1/50)-1)*100</f>
        <v>8.2389243754122496</v>
      </c>
      <c r="AA7" s="83"/>
    </row>
    <row r="8" spans="1:27" ht="13" thickTop="1" x14ac:dyDescent="0.25"/>
    <row r="9" spans="1:27" ht="18.75" customHeight="1" x14ac:dyDescent="0.35">
      <c r="A9" s="590" t="s">
        <v>102</v>
      </c>
      <c r="B9" s="595" t="s">
        <v>30</v>
      </c>
      <c r="C9" s="596"/>
      <c r="D9" s="597"/>
      <c r="E9" s="595" t="s">
        <v>121</v>
      </c>
      <c r="F9" s="597"/>
      <c r="G9" s="595" t="s">
        <v>186</v>
      </c>
      <c r="H9" s="596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596"/>
      <c r="U9" s="596"/>
      <c r="V9" s="596"/>
      <c r="W9" s="596"/>
      <c r="X9" s="596"/>
      <c r="Y9" s="596"/>
      <c r="Z9" s="596"/>
      <c r="AA9" s="597"/>
    </row>
    <row r="10" spans="1:27" ht="13.5" customHeight="1" x14ac:dyDescent="0.3">
      <c r="A10" s="594"/>
      <c r="B10" s="522" t="s">
        <v>159</v>
      </c>
      <c r="C10" s="8"/>
      <c r="D10" s="514" t="s">
        <v>31</v>
      </c>
      <c r="E10" s="582" t="s">
        <v>99</v>
      </c>
      <c r="F10" s="584"/>
      <c r="G10" s="527" t="s">
        <v>16</v>
      </c>
      <c r="H10" s="528"/>
      <c r="I10" s="530"/>
      <c r="J10" s="598" t="s">
        <v>32</v>
      </c>
      <c r="K10" s="593"/>
      <c r="L10" s="599"/>
      <c r="M10" s="598" t="s">
        <v>33</v>
      </c>
      <c r="N10" s="593"/>
      <c r="O10" s="599"/>
      <c r="P10" s="527" t="s">
        <v>34</v>
      </c>
      <c r="Q10" s="528"/>
      <c r="R10" s="530"/>
      <c r="S10" s="527" t="s">
        <v>75</v>
      </c>
      <c r="T10" s="528"/>
      <c r="U10" s="530"/>
      <c r="V10" s="598" t="s">
        <v>35</v>
      </c>
      <c r="W10" s="593"/>
      <c r="X10" s="599"/>
      <c r="Y10" s="527" t="s">
        <v>206</v>
      </c>
      <c r="Z10" s="528"/>
      <c r="AA10" s="530"/>
    </row>
    <row r="11" spans="1:27" ht="13.5" customHeight="1" x14ac:dyDescent="0.3">
      <c r="A11" s="591"/>
      <c r="B11" s="580"/>
      <c r="C11" s="29" t="s">
        <v>32</v>
      </c>
      <c r="D11" s="585"/>
      <c r="E11" s="73" t="s">
        <v>98</v>
      </c>
      <c r="F11" s="81" t="s">
        <v>100</v>
      </c>
      <c r="G11" s="72" t="s">
        <v>119</v>
      </c>
      <c r="H11" s="72" t="s">
        <v>120</v>
      </c>
      <c r="I11" s="41" t="s">
        <v>55</v>
      </c>
      <c r="J11" s="72" t="s">
        <v>119</v>
      </c>
      <c r="K11" s="72" t="s">
        <v>120</v>
      </c>
      <c r="L11" s="41" t="s">
        <v>55</v>
      </c>
      <c r="M11" s="72" t="s">
        <v>119</v>
      </c>
      <c r="N11" s="72" t="s">
        <v>120</v>
      </c>
      <c r="O11" s="41" t="s">
        <v>55</v>
      </c>
      <c r="P11" s="72" t="s">
        <v>119</v>
      </c>
      <c r="Q11" s="72" t="s">
        <v>120</v>
      </c>
      <c r="R11" s="41" t="s">
        <v>55</v>
      </c>
      <c r="S11" s="72" t="s">
        <v>119</v>
      </c>
      <c r="T11" s="72" t="s">
        <v>120</v>
      </c>
      <c r="U11" s="41" t="s">
        <v>55</v>
      </c>
      <c r="V11" s="72" t="s">
        <v>119</v>
      </c>
      <c r="W11" s="72" t="s">
        <v>120</v>
      </c>
      <c r="X11" s="41" t="s">
        <v>55</v>
      </c>
      <c r="Y11" s="72" t="s">
        <v>119</v>
      </c>
      <c r="Z11" s="80" t="s">
        <v>120</v>
      </c>
      <c r="AA11" s="41" t="s">
        <v>55</v>
      </c>
    </row>
    <row r="12" spans="1:27" ht="12.75" hidden="1" customHeight="1" x14ac:dyDescent="0.3">
      <c r="A12" s="8"/>
      <c r="B12" s="35"/>
      <c r="C12" s="36"/>
      <c r="D12" s="23"/>
      <c r="E12" s="22"/>
      <c r="F12" s="22"/>
      <c r="G12" s="24"/>
      <c r="H12" s="32"/>
      <c r="I12" s="32"/>
      <c r="J12" s="24"/>
      <c r="K12" s="37"/>
      <c r="L12" s="32"/>
      <c r="M12" s="24"/>
      <c r="N12" s="37"/>
      <c r="O12" s="32"/>
      <c r="P12" s="24"/>
      <c r="Q12" s="37"/>
      <c r="R12" s="32"/>
      <c r="S12" s="32"/>
      <c r="T12" s="32"/>
      <c r="U12" s="32"/>
      <c r="V12" s="38"/>
      <c r="W12" s="37"/>
      <c r="X12" s="32"/>
      <c r="Y12" s="24"/>
      <c r="Z12" s="32"/>
      <c r="AA12" s="32"/>
    </row>
    <row r="13" spans="1:27" ht="6" customHeight="1" x14ac:dyDescent="0.25">
      <c r="A13" s="19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215"/>
      <c r="Q13" s="215"/>
      <c r="R13" s="215"/>
      <c r="S13" s="215"/>
      <c r="T13" s="90"/>
      <c r="U13" s="216"/>
      <c r="V13" s="217"/>
      <c r="W13" s="217"/>
      <c r="X13" s="217"/>
      <c r="Y13" s="215"/>
    </row>
    <row r="14" spans="1:27" ht="17.5" x14ac:dyDescent="0.35">
      <c r="A14" s="285" t="s">
        <v>198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</row>
    <row r="15" spans="1:27" ht="13.5" customHeight="1" x14ac:dyDescent="0.35">
      <c r="A15" s="303">
        <v>2002</v>
      </c>
      <c r="B15" s="142">
        <f>'Income - Continuing Ops'!C39/'Income - Continuing Ops'!B39*100</f>
        <v>19.942559684078265</v>
      </c>
      <c r="C15" s="142">
        <f>'Income - Continuing Ops'!F39/'Income - Continuing Ops'!B39*100</f>
        <v>9.8546042003231022</v>
      </c>
      <c r="D15" s="142">
        <f>'Income - Continuing Ops'!N39/'Income - Continuing Ops'!B39*100</f>
        <v>5.6453060491832723</v>
      </c>
      <c r="E15" s="347" t="s">
        <v>196</v>
      </c>
      <c r="F15" s="349" t="s">
        <v>196</v>
      </c>
      <c r="G15" s="351" t="s">
        <v>196</v>
      </c>
      <c r="H15" s="351" t="s">
        <v>196</v>
      </c>
      <c r="I15" s="345" t="s">
        <v>196</v>
      </c>
      <c r="J15" s="351" t="s">
        <v>196</v>
      </c>
      <c r="K15" s="351" t="s">
        <v>196</v>
      </c>
      <c r="L15" s="345" t="s">
        <v>196</v>
      </c>
      <c r="M15" s="351" t="s">
        <v>196</v>
      </c>
      <c r="N15" s="351" t="s">
        <v>196</v>
      </c>
      <c r="O15" s="345" t="s">
        <v>196</v>
      </c>
      <c r="P15" s="351" t="s">
        <v>196</v>
      </c>
      <c r="Q15" s="351" t="s">
        <v>196</v>
      </c>
      <c r="R15" s="345" t="s">
        <v>196</v>
      </c>
      <c r="S15" s="142">
        <f>('Cash Flow'!O45/'Cash Flow'!O44-1)*100</f>
        <v>-14.705332086061739</v>
      </c>
      <c r="T15" s="147">
        <f>(('Cash Flow'!O45/'Cash Flow'!O40)^0.2-1)*100</f>
        <v>9.5985958126098225</v>
      </c>
      <c r="U15" s="143">
        <f>(('Cash Flow'!O45/'Cash Flow'!O35)^0.1-1)*100</f>
        <v>16.713295719750064</v>
      </c>
      <c r="V15" s="147">
        <f>+('Income - Continuing Ops'!Y39/'Income - Historical'!X44-1)*100</f>
        <v>4.1666666666666741</v>
      </c>
      <c r="W15" s="142">
        <f>(('Income - Historical'!X45/'Income - Historical'!X40)^0.2-1)*100</f>
        <v>13.115273009052952</v>
      </c>
      <c r="X15" s="143">
        <f>(('Income - Continuing Ops'!Y39/'Income - Historical'!X35)^0.1-1)*100</f>
        <v>15.831642950132153</v>
      </c>
      <c r="Y15" s="147">
        <f>('Income - Continuing Ops'!Z39/'Income - Historical'!Y44-1)*100</f>
        <v>-2.4347826086956514</v>
      </c>
      <c r="Z15" s="142">
        <f>(('Income - Historical'!Y45/'Income - Historical'!Y40)^0.2-1)*100</f>
        <v>1.3932946268817803</v>
      </c>
      <c r="AA15" s="143">
        <f>(('Income - Continuing Ops'!Z39/'Income - Historical'!Y35)^0.1-1)*100</f>
        <v>10.194620275875476</v>
      </c>
    </row>
    <row r="16" spans="1:27" ht="13.5" customHeight="1" x14ac:dyDescent="0.35">
      <c r="A16" s="166">
        <v>2003</v>
      </c>
      <c r="B16" s="142">
        <f>'Income - Continuing Ops'!C40/'Income - Continuing Ops'!B40*100</f>
        <v>18.481676902228756</v>
      </c>
      <c r="C16" s="142">
        <f>'Income - Continuing Ops'!F40/'Income - Continuing Ops'!B40*100</f>
        <v>8.5229074762852104</v>
      </c>
      <c r="D16" s="142">
        <f>'Income - Continuing Ops'!N40/'Income - Continuing Ops'!B40*100</f>
        <v>4.9101865467231764</v>
      </c>
      <c r="E16" s="347" t="s">
        <v>196</v>
      </c>
      <c r="F16" s="349" t="s">
        <v>196</v>
      </c>
      <c r="G16" s="142">
        <f>(('Income - Continuing Ops'!B40/'Income - Continuing Ops'!B39)-1)*100</f>
        <v>3.7605456830012596</v>
      </c>
      <c r="H16" s="351" t="s">
        <v>196</v>
      </c>
      <c r="I16" s="345" t="s">
        <v>196</v>
      </c>
      <c r="J16" s="142">
        <f>+('Income - Continuing Ops'!F40/'Income - Continuing Ops'!F39-1)*100</f>
        <v>-10.261080752884055</v>
      </c>
      <c r="K16" s="351" t="s">
        <v>196</v>
      </c>
      <c r="L16" s="345" t="s">
        <v>196</v>
      </c>
      <c r="M16" s="142">
        <f>+('Income - Continuing Ops'!N40/'Income - Continuing Ops'!N39-1)*100</f>
        <v>-9.7509273979862865</v>
      </c>
      <c r="N16" s="351" t="s">
        <v>196</v>
      </c>
      <c r="O16" s="345" t="s">
        <v>196</v>
      </c>
      <c r="P16" s="142">
        <f>('Income - Continuing Ops'!W40/'Income - Continuing Ops'!W39-1)*100</f>
        <v>-8.4681994625261936</v>
      </c>
      <c r="Q16" s="351" t="s">
        <v>196</v>
      </c>
      <c r="R16" s="345" t="s">
        <v>196</v>
      </c>
      <c r="S16" s="142">
        <f>('Cash Flow'!O46/'Cash Flow'!O45-1)*100</f>
        <v>-13.29238868172845</v>
      </c>
      <c r="T16" s="147">
        <f>(('Cash Flow'!O46/'Cash Flow'!O41)^0.2-1)*100</f>
        <v>2.1795917115531749</v>
      </c>
      <c r="U16" s="143">
        <f>(('Cash Flow'!O46/'Cash Flow'!O36)^0.1-1)*100</f>
        <v>10.496043147664125</v>
      </c>
      <c r="V16" s="147">
        <f>+('Income - Continuing Ops'!Y40/'Income - Continuing Ops'!Y39-1)*100</f>
        <v>8.0000000000000071</v>
      </c>
      <c r="W16" s="142">
        <f>(('Income - Historical'!X46/'Income - Historical'!X41)^0.2-1)*100</f>
        <v>11.382417860287909</v>
      </c>
      <c r="X16" s="143">
        <f>(('Income - Continuing Ops'!Y40/'Income - Historical'!X36)^0.1-1)*100</f>
        <v>14.869835499703509</v>
      </c>
      <c r="Y16" s="147">
        <f>('Income - Continuing Ops'!Z40/'Income - Continuing Ops'!Z39-1)*100</f>
        <v>-3.6096256684492123</v>
      </c>
      <c r="Z16" s="142">
        <f>(('Income - Historical'!Y46/'Income - Historical'!Y41)^0.2-1)*100</f>
        <v>-0.33864955238921413</v>
      </c>
      <c r="AA16" s="143">
        <f>(('Income - Continuing Ops'!Z40/'Income - Historical'!Y36)^0.1-1)*100</f>
        <v>5.636657405190415</v>
      </c>
    </row>
    <row r="17" spans="1:29" ht="13.5" customHeight="1" x14ac:dyDescent="0.35">
      <c r="A17" s="166">
        <v>2004</v>
      </c>
      <c r="B17" s="142">
        <f>'Income - Continuing Ops'!C41/'Income - Continuing Ops'!B41*100</f>
        <v>18.773889669798525</v>
      </c>
      <c r="C17" s="142">
        <f>'Income - Continuing Ops'!F41/'Income - Continuing Ops'!B41*100</f>
        <v>9.4621587630391364</v>
      </c>
      <c r="D17" s="142">
        <f>'Income - Continuing Ops'!N41/'Income - Continuing Ops'!B41*100</f>
        <v>5.8025696037089096</v>
      </c>
      <c r="E17" s="347" t="s">
        <v>196</v>
      </c>
      <c r="F17" s="349" t="s">
        <v>196</v>
      </c>
      <c r="G17" s="142">
        <f>(('Income - Continuing Ops'!B41/'Income - Continuing Ops'!B40)-1)*100</f>
        <v>16.91895164778132</v>
      </c>
      <c r="H17" s="351" t="s">
        <v>196</v>
      </c>
      <c r="I17" s="345" t="s">
        <v>196</v>
      </c>
      <c r="J17" s="142">
        <f>+('Income - Continuing Ops'!F41/'Income - Continuing Ops'!F40-1)*100</f>
        <v>29.803788903924232</v>
      </c>
      <c r="K17" s="351" t="s">
        <v>196</v>
      </c>
      <c r="L17" s="345" t="s">
        <v>196</v>
      </c>
      <c r="M17" s="142">
        <f>+('Income - Continuing Ops'!N41/'Income - Continuing Ops'!N40-1)*100</f>
        <v>38.167938931297755</v>
      </c>
      <c r="N17" s="351" t="s">
        <v>196</v>
      </c>
      <c r="O17" s="345" t="s">
        <v>196</v>
      </c>
      <c r="P17" s="142">
        <f>('Income - Continuing Ops'!W41/'Income - Continuing Ops'!W40-1)*100</f>
        <v>38.238110561024172</v>
      </c>
      <c r="Q17" s="351" t="s">
        <v>196</v>
      </c>
      <c r="R17" s="345" t="s">
        <v>196</v>
      </c>
      <c r="S17" s="142">
        <f>('Cash Flow'!O47/'Cash Flow'!O46-1)*100</f>
        <v>-13.356944093093858</v>
      </c>
      <c r="T17" s="147">
        <f>(('Cash Flow'!O47/'Cash Flow'!O42)^0.2-1)*100</f>
        <v>-1.5752840580371297</v>
      </c>
      <c r="U17" s="143">
        <f>(('Cash Flow'!O47/'Cash Flow'!O37)^0.1-1)*100</f>
        <v>7.0684331638989573</v>
      </c>
      <c r="V17" s="147">
        <f>+('Income - Continuing Ops'!Y41/'Income - Continuing Ops'!Y40-1)*100</f>
        <v>7.4074074074073959</v>
      </c>
      <c r="W17" s="142">
        <f>(('Income - Historical'!X47/'Income - Historical'!X42)^0.2-1)*100</f>
        <v>10.008210113886594</v>
      </c>
      <c r="X17" s="143">
        <f>(('Income - Continuing Ops'!Y41/'Income - Historical'!X37)^0.1-1)*100</f>
        <v>14.106301663958964</v>
      </c>
      <c r="Y17" s="147">
        <f>('Income - Continuing Ops'!Z41/'Income - Continuing Ops'!Z40-1)*100</f>
        <v>31.437817845584838</v>
      </c>
      <c r="Z17" s="142">
        <f>(('Income - Historical'!Y47/'Income - Historical'!Y42)^0.2-1)*100</f>
        <v>5.8060291272215458</v>
      </c>
      <c r="AA17" s="143">
        <f>(('Income - Continuing Ops'!Z41/'Income - Historical'!Y37)^0.1-1)*100</f>
        <v>12.506309950158489</v>
      </c>
    </row>
    <row r="18" spans="1:29" ht="15.5" x14ac:dyDescent="0.35">
      <c r="A18" s="304">
        <v>2005</v>
      </c>
      <c r="B18" s="154">
        <f>'Income - Continuing Ops'!C42/'Income - Continuing Ops'!B42*100</f>
        <v>19.144170975197159</v>
      </c>
      <c r="C18" s="154">
        <f>'Income - Continuing Ops'!F42/'Income - Continuing Ops'!B42*100</f>
        <v>9.7615019894689183</v>
      </c>
      <c r="D18" s="155">
        <f>'Income - Continuing Ops'!N42/'Income - Continuing Ops'!B42*100</f>
        <v>5.9350503919372901</v>
      </c>
      <c r="E18" s="348" t="s">
        <v>196</v>
      </c>
      <c r="F18" s="350" t="s">
        <v>196</v>
      </c>
      <c r="G18" s="153">
        <f>(('Income - Continuing Ops'!B42/'Income - Continuing Ops'!B41)-1)*100</f>
        <v>3.5017632117580355</v>
      </c>
      <c r="H18" s="352" t="s">
        <v>196</v>
      </c>
      <c r="I18" s="353" t="s">
        <v>196</v>
      </c>
      <c r="J18" s="153">
        <f>+('Income - Continuing Ops'!F42/'Income - Continuing Ops'!F41-1)*100</f>
        <v>6.7761271826948244</v>
      </c>
      <c r="K18" s="352" t="s">
        <v>196</v>
      </c>
      <c r="L18" s="353" t="s">
        <v>196</v>
      </c>
      <c r="M18" s="153">
        <f>+('Income - Continuing Ops'!N42/'Income - Continuing Ops'!N41-1)*100</f>
        <v>5.8648533786655577</v>
      </c>
      <c r="N18" s="352" t="s">
        <v>196</v>
      </c>
      <c r="O18" s="353" t="s">
        <v>196</v>
      </c>
      <c r="P18" s="153">
        <f>('Income - Continuing Ops'!W42/'Income - Continuing Ops'!W41-1)*100</f>
        <v>7.6832733062598413</v>
      </c>
      <c r="Q18" s="352" t="s">
        <v>196</v>
      </c>
      <c r="R18" s="353" t="s">
        <v>196</v>
      </c>
      <c r="S18" s="153">
        <f>('Cash Flow'!O48/'Cash Flow'!O47-1)*100</f>
        <v>30.89051094890516</v>
      </c>
      <c r="T18" s="159">
        <f>(('Cash Flow'!O48/'Cash Flow'!O43)^0.2-1)*100</f>
        <v>0.33799779513150607</v>
      </c>
      <c r="U18" s="155">
        <f>(('Cash Flow'!O48/'Cash Flow'!O38)^0.1-1)*100</f>
        <v>8.2341980229647014</v>
      </c>
      <c r="V18" s="158">
        <f>+('Income - Continuing Ops'!Y42/'Income - Continuing Ops'!Y41-1)*100</f>
        <v>8.6206896551724199</v>
      </c>
      <c r="W18" s="154">
        <f>(('Income - Historical'!X48/'Income - Historical'!X43)^0.2-1)*100</f>
        <v>8.4471771197698544</v>
      </c>
      <c r="X18" s="155">
        <f>(('Income - Continuing Ops'!Y42/'Income - Historical'!X38)^0.1-1)*100</f>
        <v>12.734980707900689</v>
      </c>
      <c r="Y18" s="158">
        <f>('Income - Continuing Ops'!Z42/'Income - Continuing Ops'!Z41-1)*100</f>
        <v>-19.240239183960604</v>
      </c>
      <c r="Z18" s="154">
        <f>(('Income - Historical'!Y48/'Income - Historical'!Y43)^0.2-1)*100</f>
        <v>3.9246048350921825</v>
      </c>
      <c r="AA18" s="155">
        <f>(('Income - Continuing Ops'!Z42/'Income - Historical'!Y38)^0.1-1)*100</f>
        <v>6.5886859811383092</v>
      </c>
      <c r="AB18" s="211"/>
      <c r="AC18" s="211"/>
    </row>
    <row r="19" spans="1:29" ht="15.5" x14ac:dyDescent="0.35">
      <c r="A19" s="166">
        <v>2006</v>
      </c>
      <c r="B19" s="142">
        <f>'Income - Continuing Ops'!C43/'Income - Continuing Ops'!B43*100</f>
        <v>18.809908833110693</v>
      </c>
      <c r="C19" s="142">
        <f>'Income - Continuing Ops'!F43/'Income - Continuing Ops'!B43*100</f>
        <v>9.6768145492043427</v>
      </c>
      <c r="D19" s="142">
        <f>'Income - Continuing Ops'!N43/'Income - Continuing Ops'!B43*100</f>
        <v>5.6973446764630076</v>
      </c>
      <c r="E19" s="146">
        <v>-0.9</v>
      </c>
      <c r="F19" s="165">
        <f t="shared" ref="F19:F32" si="0">+G19-E19</f>
        <v>2.5630530604464732</v>
      </c>
      <c r="G19" s="142">
        <f>(('Income - Continuing Ops'!B43/'Income - Continuing Ops'!B42)-1)*100</f>
        <v>1.6630530604464733</v>
      </c>
      <c r="H19" s="351" t="s">
        <v>196</v>
      </c>
      <c r="I19" s="345" t="s">
        <v>196</v>
      </c>
      <c r="J19" s="142">
        <f>+('Income - Continuing Ops'!F43/'Income - Continuing Ops'!F42-1)*100</f>
        <v>0.781059311691501</v>
      </c>
      <c r="K19" s="351" t="s">
        <v>196</v>
      </c>
      <c r="L19" s="345" t="s">
        <v>196</v>
      </c>
      <c r="M19" s="142">
        <f>+('Income - Continuing Ops'!N43/'Income - Continuing Ops'!N42-1)*100</f>
        <v>-2.4086712163789659</v>
      </c>
      <c r="N19" s="351" t="s">
        <v>196</v>
      </c>
      <c r="O19" s="345" t="s">
        <v>196</v>
      </c>
      <c r="P19" s="142">
        <f>('Income - Continuing Ops'!W43/'Income - Continuing Ops'!W42-1)*100</f>
        <v>1.130842983348157</v>
      </c>
      <c r="Q19" s="351" t="s">
        <v>196</v>
      </c>
      <c r="R19" s="345" t="s">
        <v>196</v>
      </c>
      <c r="S19" s="142">
        <f>('Cash Flow'!O49/'Cash Flow'!O48-1)*100</f>
        <v>6.8257863038143851</v>
      </c>
      <c r="T19" s="147">
        <f>(('Cash Flow'!O49/'Cash Flow'!O44)^0.2-1)*100</f>
        <v>-2.1728445717822953</v>
      </c>
      <c r="U19" s="143">
        <f>(('Cash Flow'!O49/'Cash Flow'!O39)^0.1-1)*100</f>
        <v>7.2379601007550587</v>
      </c>
      <c r="V19" s="147">
        <f>+('Income - Continuing Ops'!Y43/'Income - Continuing Ops'!Y42-1)*100</f>
        <v>6.3492063492063489</v>
      </c>
      <c r="W19" s="142">
        <f>(('Income - Historical'!X49/'Income - Historical'!X44)^0.2-1)*100</f>
        <v>6.8972943582217727</v>
      </c>
      <c r="X19" s="143">
        <f>(('Income - Continuing Ops'!Y43/'Income - Historical'!X39)^0.1-1)*100</f>
        <v>11.284504563028698</v>
      </c>
      <c r="Y19" s="147">
        <f>('Income - Continuing Ops'!Z43/'Income - Continuing Ops'!Z42-1)*100</f>
        <v>4.0940766550522589</v>
      </c>
      <c r="Z19" s="142">
        <f>(('Income - Continuing Ops'!Z43/'Income - Historical'!Y44)^0.2-1)*100</f>
        <v>0.77063911534009932</v>
      </c>
      <c r="AA19" s="143">
        <f>(('Income - Continuing Ops'!Z43/'Income - Historical'!Y39)^0.1-1)*100</f>
        <v>3.2785384356384561</v>
      </c>
      <c r="AB19" s="211"/>
      <c r="AC19" s="211"/>
    </row>
    <row r="20" spans="1:29" ht="15.5" x14ac:dyDescent="0.35">
      <c r="A20" s="166">
        <v>2007</v>
      </c>
      <c r="B20" s="142">
        <f>'Income - Continuing Ops'!C44/'Income - Continuing Ops'!B44*100</f>
        <v>18.842352941176468</v>
      </c>
      <c r="C20" s="142">
        <f>'Income - Continuing Ops'!F44/'Income - Continuing Ops'!B44*100</f>
        <v>8.670588235294117</v>
      </c>
      <c r="D20" s="142">
        <f>'Income - Continuing Ops'!N44/'Income - Continuing Ops'!B44*100</f>
        <v>5.091764705882353</v>
      </c>
      <c r="E20" s="146">
        <v>-2.6</v>
      </c>
      <c r="F20" s="143">
        <f t="shared" si="0"/>
        <v>2.2039279101924247</v>
      </c>
      <c r="G20" s="142">
        <f>(('Income - Continuing Ops'!B44/'Income - Continuing Ops'!B43)-1)*100</f>
        <v>-0.39607208980757536</v>
      </c>
      <c r="H20" s="142">
        <f>(('Income - Continuing Ops'!B44/'Income - Continuing Ops'!B39)^0.2-1)*100</f>
        <v>4.9206335216881891</v>
      </c>
      <c r="I20" s="345" t="s">
        <v>196</v>
      </c>
      <c r="J20" s="142">
        <f>+('Income - Continuing Ops'!F44/'Income - Continuing Ops'!F43-1)*100</f>
        <v>-10.753209009445397</v>
      </c>
      <c r="K20" s="142">
        <f>(('Income - Continuing Ops'!F44/'Income - Continuing Ops'!F39)^0.2-1)*100</f>
        <v>2.2687103780455908</v>
      </c>
      <c r="L20" s="345" t="s">
        <v>196</v>
      </c>
      <c r="M20" s="142">
        <f>+('Income - Continuing Ops'!N44/'Income - Continuing Ops'!N43-1)*100</f>
        <v>-10.9831345125463</v>
      </c>
      <c r="N20" s="142">
        <f>(('Income - Continuing Ops'!N44/'Income - Continuing Ops'!N39)^0.2-1)*100</f>
        <v>2.7772684875497333</v>
      </c>
      <c r="O20" s="345" t="s">
        <v>196</v>
      </c>
      <c r="P20" s="142">
        <f>('Income - Continuing Ops'!W44/'Income - Continuing Ops'!W43-1)*100</f>
        <v>-7.5175168350592241</v>
      </c>
      <c r="Q20" s="142">
        <f>(('Income - Continuing Ops'!W44/'Income - Continuing Ops'!W39)^0.2-1)*100</f>
        <v>4.9683161577549706</v>
      </c>
      <c r="R20" s="345" t="s">
        <v>196</v>
      </c>
      <c r="S20" s="142">
        <f>('Cash Flow'!O50/'Cash Flow'!O49-1)*100</f>
        <v>28.147838797243697</v>
      </c>
      <c r="T20" s="147">
        <f>(('Cash Flow'!O50/'Cash Flow'!O45)^0.2-1)*100</f>
        <v>6.1249029796896837</v>
      </c>
      <c r="U20" s="143">
        <f>(('Cash Flow'!O50/'Cash Flow'!O40)^0.1-1)*100</f>
        <v>7.8477646839443915</v>
      </c>
      <c r="V20" s="147">
        <f>+('Income - Continuing Ops'!Y44/'Income - Continuing Ops'!Y43-1)*100</f>
        <v>16.417910447761198</v>
      </c>
      <c r="W20" s="142">
        <f>(('Income - Continuing Ops'!Y44/'Income - Continuing Ops'!Y39)^0.2-1)*100</f>
        <v>9.3011973943858628</v>
      </c>
      <c r="X20" s="143">
        <f>(('Income - Continuing Ops'!Y44/'Income - Historical'!X40)^0.1-1)*100</f>
        <v>11.191882722986325</v>
      </c>
      <c r="Y20" s="147">
        <f>('Income - Continuing Ops'!Z44/'Income - Continuing Ops'!Z43-1)*100</f>
        <v>-27.029288702928856</v>
      </c>
      <c r="Z20" s="142">
        <f>(('Income - Continuing Ops'!Z44/'Income - Continuing Ops'!Z39)^0.2-1)*100</f>
        <v>-4.9165950233177931</v>
      </c>
      <c r="AA20" s="143">
        <f>(('Income - Continuing Ops'!Z44/'Income - Historical'!Y40)^0.1-1)*100</f>
        <v>-1.8123241189208272</v>
      </c>
    </row>
    <row r="21" spans="1:29" ht="15.5" x14ac:dyDescent="0.35">
      <c r="A21" s="166">
        <v>2008</v>
      </c>
      <c r="B21" s="142">
        <f>'Income - Continuing Ops'!C45/'Income - Continuing Ops'!B45*100</f>
        <v>17.25178479428866</v>
      </c>
      <c r="C21" s="142">
        <f>'Income - Continuing Ops'!F45/'Income - Continuing Ops'!B45*100</f>
        <v>6.6313387797159065</v>
      </c>
      <c r="D21" s="142">
        <f>'Income - Continuing Ops'!N45/'Income - Continuing Ops'!B45*100</f>
        <v>3.5794018792473214</v>
      </c>
      <c r="E21" s="146">
        <v>-3.98</v>
      </c>
      <c r="F21" s="143">
        <f t="shared" si="0"/>
        <v>-0.11176470588235032</v>
      </c>
      <c r="G21" s="142">
        <f>(('Income - Continuing Ops'!B45/'Income - Continuing Ops'!B44)-1)*100</f>
        <v>-4.0917647058823503</v>
      </c>
      <c r="H21" s="142">
        <f>(('Income - Continuing Ops'!B45/'Income - Continuing Ops'!B40)^0.2-1)*100</f>
        <v>3.2822367756546678</v>
      </c>
      <c r="I21" s="345" t="s">
        <v>196</v>
      </c>
      <c r="J21" s="142">
        <f>+('Income - Continuing Ops'!F45/'Income - Continuing Ops'!F44-1)*100</f>
        <v>-26.6485753052917</v>
      </c>
      <c r="K21" s="142">
        <f>(('Income - Continuing Ops'!F45/'Income - Continuing Ops'!F40)^0.2-1)*100</f>
        <v>-1.7735783414468131</v>
      </c>
      <c r="L21" s="345" t="s">
        <v>196</v>
      </c>
      <c r="M21" s="142">
        <f>+('Income - Continuing Ops'!N45/'Income - Continuing Ops'!N44-1)*100</f>
        <v>-32.578558225508282</v>
      </c>
      <c r="N21" s="142">
        <f>(('Income - Continuing Ops'!N45/'Income - Continuing Ops'!N40)^0.2-1)*100</f>
        <v>-3.0454647792897416</v>
      </c>
      <c r="O21" s="345" t="s">
        <v>196</v>
      </c>
      <c r="P21" s="142">
        <f>('Income - Continuing Ops'!W45/'Income - Continuing Ops'!W44-1)*100</f>
        <v>-27.9288036203709</v>
      </c>
      <c r="Q21" s="142">
        <f>(('Income - Continuing Ops'!W45/'Income - Continuing Ops'!W40)^0.2-1)*100</f>
        <v>6.8220240613103833E-2</v>
      </c>
      <c r="R21" s="345" t="s">
        <v>196</v>
      </c>
      <c r="S21" s="142">
        <f>('Cash Flow'!O51/'Cash Flow'!O50-1)*100</f>
        <v>-28.922926511324754</v>
      </c>
      <c r="T21" s="147">
        <f>(('Cash Flow'!O51/'Cash Flow'!O46)^0.2-1)*100</f>
        <v>1.9886326719329439</v>
      </c>
      <c r="U21" s="143">
        <f>(('Cash Flow'!O51/'Cash Flow'!O41)^0.1-1)*100</f>
        <v>2.0840675406190945</v>
      </c>
      <c r="V21" s="147">
        <f>+('Income - Continuing Ops'!Y45/'Income - Continuing Ops'!Y44-1)*100</f>
        <v>28.205128205128194</v>
      </c>
      <c r="W21" s="142">
        <f>(('Income - Continuing Ops'!Y45/'Income - Continuing Ops'!Y40)^0.2-1)*100</f>
        <v>13.115273009052952</v>
      </c>
      <c r="X21" s="143">
        <f>(('Income - Continuing Ops'!Y45/'Income - Historical'!X41)^0.1-1)*100</f>
        <v>12.245501489702825</v>
      </c>
      <c r="Y21" s="147">
        <f>('Income - Continuing Ops'!Z45/'Income - Continuing Ops'!Z44-1)*100</f>
        <v>-12.901376146789001</v>
      </c>
      <c r="Z21" s="142">
        <f>(('Income - Continuing Ops'!Z45/'Income - Continuing Ops'!Z40)^0.2-1)*100</f>
        <v>-6.824817754058266</v>
      </c>
      <c r="AA21" s="143">
        <f>(('Income - Continuing Ops'!Z45/'Income - Historical'!Y41)^0.1-1)*100</f>
        <v>-3.63629059219025</v>
      </c>
      <c r="AB21" s="213"/>
      <c r="AC21" s="213"/>
    </row>
    <row r="22" spans="1:29" ht="15.5" x14ac:dyDescent="0.35">
      <c r="A22" s="166">
        <v>2009</v>
      </c>
      <c r="B22" s="142">
        <f>'Income - Continuing Ops'!C46/'Income - Continuing Ops'!B46*100</f>
        <v>21.133557800224466</v>
      </c>
      <c r="C22" s="142">
        <f>'Income - Continuing Ops'!F46/'Income - Continuing Ops'!B46*100</f>
        <v>8.4848484848484844</v>
      </c>
      <c r="D22" s="142">
        <f>'Income - Continuing Ops'!N46/'Income - Continuing Ops'!B46*100</f>
        <v>4.5940890385334834</v>
      </c>
      <c r="E22" s="346" t="s">
        <v>196</v>
      </c>
      <c r="F22" s="345" t="s">
        <v>196</v>
      </c>
      <c r="G22" s="346" t="s">
        <v>196</v>
      </c>
      <c r="H22" s="142" t="s">
        <v>196</v>
      </c>
      <c r="I22" s="345" t="s">
        <v>196</v>
      </c>
      <c r="J22" s="346" t="s">
        <v>196</v>
      </c>
      <c r="K22" s="142" t="s">
        <v>196</v>
      </c>
      <c r="L22" s="345" t="s">
        <v>196</v>
      </c>
      <c r="M22" s="346" t="s">
        <v>196</v>
      </c>
      <c r="N22" s="142" t="s">
        <v>196</v>
      </c>
      <c r="O22" s="345" t="s">
        <v>196</v>
      </c>
      <c r="P22" s="346" t="s">
        <v>196</v>
      </c>
      <c r="Q22" s="142" t="s">
        <v>196</v>
      </c>
      <c r="R22" s="345" t="s">
        <v>196</v>
      </c>
      <c r="S22" s="142">
        <f>('Cash Flow'!O52/'Cash Flow'!O51-1)*100</f>
        <v>29.596515359926624</v>
      </c>
      <c r="T22" s="147">
        <f>(('Cash Flow'!O52/'Cash Flow'!O47)^0.2-1)*100</f>
        <v>10.541074540107642</v>
      </c>
      <c r="U22" s="143">
        <f>(('Cash Flow'!O52/'Cash Flow'!O42)^0.1-1)*100</f>
        <v>4.307113187593492</v>
      </c>
      <c r="V22" s="147">
        <f>+('Income - Continuing Ops'!Y46/'Income - Continuing Ops'!Y45-1)*100</f>
        <v>2.0000000000000018</v>
      </c>
      <c r="W22" s="142">
        <f>(('Income - Continuing Ops'!Y46/'Income - Continuing Ops'!Y41)^0.2-1)*100</f>
        <v>11.952664832522043</v>
      </c>
      <c r="X22" s="143">
        <f>(('Income - Continuing Ops'!Y46/'Income - Historical'!X42)^0.1-1)*100</f>
        <v>10.97617886603237</v>
      </c>
      <c r="Y22" s="147">
        <f>('Income - Continuing Ops'!Z46/'Income - Continuing Ops'!Z45-1)*100</f>
        <v>34.298880842659642</v>
      </c>
      <c r="Z22" s="142">
        <f>(('Income - Continuing Ops'!Z46/'Income - Continuing Ops'!Z41)^0.2-1)*100</f>
        <v>-6.4226674049076333</v>
      </c>
      <c r="AA22" s="143">
        <f>(('Income - Continuing Ops'!Z46/'Income - Historical'!Y42)^0.1-1)*100</f>
        <v>-0.49600018992180805</v>
      </c>
      <c r="AB22" s="212"/>
      <c r="AC22" s="212"/>
    </row>
    <row r="23" spans="1:29" ht="15.5" x14ac:dyDescent="0.35">
      <c r="A23" s="304">
        <v>2010</v>
      </c>
      <c r="B23" s="154">
        <f>'Income - Continuing Ops'!C47/'Income - Continuing Ops'!B47*100</f>
        <v>20.11274411113348</v>
      </c>
      <c r="C23" s="154">
        <f>'Income - Continuing Ops'!F47/'Income - Continuing Ops'!B47*100</f>
        <v>9.3450104019864426</v>
      </c>
      <c r="D23" s="154">
        <f>'Income - Continuing Ops'!N47/'Income - Continuing Ops'!B47*100</f>
        <v>5.7110261056304932</v>
      </c>
      <c r="E23" s="158">
        <v>12.5</v>
      </c>
      <c r="F23" s="155">
        <f t="shared" si="0"/>
        <v>-1.0072951739618539</v>
      </c>
      <c r="G23" s="154">
        <f>(('Income - Continuing Ops'!B47/'Income - Continuing Ops'!B46)-1)*100</f>
        <v>11.492704826038146</v>
      </c>
      <c r="H23" s="154" t="s">
        <v>196</v>
      </c>
      <c r="I23" s="353" t="s">
        <v>196</v>
      </c>
      <c r="J23" s="154">
        <f>+('Income - Continuing Ops'!F47/'Income - Continuing Ops'!F46-1)*100</f>
        <v>22.795414462081109</v>
      </c>
      <c r="K23" s="154" t="s">
        <v>196</v>
      </c>
      <c r="L23" s="353" t="s">
        <v>196</v>
      </c>
      <c r="M23" s="154">
        <f>+('Income - Continuing Ops'!N47/'Income - Continuing Ops'!N46-1)*100</f>
        <v>38.59934853420193</v>
      </c>
      <c r="N23" s="154" t="s">
        <v>196</v>
      </c>
      <c r="O23" s="353" t="s">
        <v>196</v>
      </c>
      <c r="P23" s="154">
        <f>('Income - Continuing Ops'!W47/'Income - Continuing Ops'!W46-1)*100</f>
        <v>44.656854308364679</v>
      </c>
      <c r="Q23" s="154" t="s">
        <v>196</v>
      </c>
      <c r="R23" s="353" t="s">
        <v>196</v>
      </c>
      <c r="S23" s="154">
        <f>('Cash Flow'!O53/'Cash Flow'!O52-1)*100</f>
        <v>-35.874756766318761</v>
      </c>
      <c r="T23" s="159">
        <f>(('Cash Flow'!O53/'Cash Flow'!O48)^0.2-1)*100</f>
        <v>-4.1597684265484052</v>
      </c>
      <c r="U23" s="155">
        <f>(('Cash Flow'!O53/'Cash Flow'!O43)^0.1-1)*100</f>
        <v>-1.9366687068918753</v>
      </c>
      <c r="V23" s="159">
        <f>+('Income - Continuing Ops'!Y47/'Income - Continuing Ops'!Y46-1)*100</f>
        <v>3.9215686274509887</v>
      </c>
      <c r="W23" s="154">
        <f>(('Income - Continuing Ops'!Y47/'Income - Continuing Ops'!Y42)^0.2-1)*100</f>
        <v>10.966800228371888</v>
      </c>
      <c r="X23" s="155">
        <f>(('Income - Continuing Ops'!Y47/'Income - Historical'!X43)^0.1-1)*100</f>
        <v>9.6997549622621868</v>
      </c>
      <c r="Y23" s="159">
        <f>('Income - Continuing Ops'!Z47/'Income - Continuing Ops'!Z46-1)*100</f>
        <v>11.568627450980419</v>
      </c>
      <c r="Z23" s="154">
        <f>(('Income - Continuing Ops'!Z47/'Income - Continuing Ops'!Z42)^0.2-1)*100</f>
        <v>-0.17482624443788675</v>
      </c>
      <c r="AA23" s="155">
        <f>(('Income - Continuing Ops'!Z47/'Income - Historical'!Y43)^0.1-1)*100</f>
        <v>1.8542671425267665</v>
      </c>
    </row>
    <row r="24" spans="1:29" ht="15.5" x14ac:dyDescent="0.35">
      <c r="A24" s="166">
        <v>2011</v>
      </c>
      <c r="B24" s="142">
        <f>'Income - Continuing Ops'!C48/'Income - Continuing Ops'!B48*100</f>
        <v>19.12085250666021</v>
      </c>
      <c r="C24" s="142">
        <f>'Income - Continuing Ops'!F48/'Income - Continuing Ops'!B48*100</f>
        <v>8.4917655606684441</v>
      </c>
      <c r="D24" s="165">
        <f>'Income - Continuing Ops'!N48/'Income - Continuing Ops'!B48*100</f>
        <v>5.4250423831436212</v>
      </c>
      <c r="E24" s="147">
        <v>10.8</v>
      </c>
      <c r="F24" s="165">
        <f t="shared" si="0"/>
        <v>3.8198778605455175E-2</v>
      </c>
      <c r="G24" s="142">
        <f>(('Income - Continuing Ops'!B48/'Income - Continuing Ops'!B47)-1)*100</f>
        <v>10.838198778605456</v>
      </c>
      <c r="H24" s="142" t="s">
        <v>196</v>
      </c>
      <c r="I24" s="354" t="s">
        <v>196</v>
      </c>
      <c r="J24" s="142">
        <f>+('Income - Continuing Ops'!F48/'Income - Continuing Ops'!F47-1)*100</f>
        <v>0.71813285457813514</v>
      </c>
      <c r="K24" s="142" t="s">
        <v>196</v>
      </c>
      <c r="L24" s="354" t="s">
        <v>196</v>
      </c>
      <c r="M24" s="142">
        <f>+('Income - Continuing Ops'!N48/'Income - Continuing Ops'!N47-1)*100</f>
        <v>5.2878965922444898</v>
      </c>
      <c r="N24" s="142" t="s">
        <v>196</v>
      </c>
      <c r="O24" s="354" t="s">
        <v>196</v>
      </c>
      <c r="P24" s="142">
        <f>('Income - Continuing Ops'!W48/'Income - Continuing Ops'!W47-1)*100</f>
        <v>9.800235017626413</v>
      </c>
      <c r="Q24" s="142" t="s">
        <v>196</v>
      </c>
      <c r="R24" s="354" t="s">
        <v>196</v>
      </c>
      <c r="S24" s="142">
        <f>('Cash Flow'!O54/'Cash Flow'!O53-1)*100</f>
        <v>-9.2689655172413907</v>
      </c>
      <c r="T24" s="147">
        <f>(('Cash Flow'!O54/'Cash Flow'!O49)^0.2-1)*100</f>
        <v>-7.239344855136598</v>
      </c>
      <c r="U24" s="165">
        <f>(('Cash Flow'!O54/'Cash Flow'!O44)^0.1-1)*100</f>
        <v>-4.7397720531813237</v>
      </c>
      <c r="V24" s="147">
        <f>+('Income - Continuing Ops'!Y48/'Income - Continuing Ops'!Y47-1)*100</f>
        <v>3.7735849056603765</v>
      </c>
      <c r="W24" s="142">
        <f>(('Income - Continuing Ops'!Y48/'Income - Continuing Ops'!Y43)^0.2-1)*100</f>
        <v>10.424025811293248</v>
      </c>
      <c r="X24" s="165">
        <f>(('Income - Continuing Ops'!Y48/'Income - Historical'!X44)^0.1-1)*100</f>
        <v>8.6463510264826802</v>
      </c>
      <c r="Y24" s="147">
        <f>('Income - Continuing Ops'!Z48/'Income - Continuing Ops'!Z47-1)*100</f>
        <v>1.2302284710017375</v>
      </c>
      <c r="Z24" s="142">
        <f>(('Income - Continuing Ops'!Z48/'Income - Continuing Ops'!Z43)^0.2-1)*100</f>
        <v>-0.73025306228493569</v>
      </c>
      <c r="AA24" s="165">
        <f>(('Income - Continuing Ops'!Z48/'Income - Historical'!Y44)^0.1-1)*100</f>
        <v>1.7377708734311881E-2</v>
      </c>
    </row>
    <row r="25" spans="1:29" ht="15.5" x14ac:dyDescent="0.35">
      <c r="A25" s="166">
        <v>2012</v>
      </c>
      <c r="B25" s="142">
        <f>'Income - Continuing Ops'!C49/'Income - Continuing Ops'!B49*100</f>
        <v>20.371943183482209</v>
      </c>
      <c r="C25" s="142">
        <f>'Income - Continuing Ops'!F49/'Income - Continuing Ops'!B49*100</f>
        <v>9.5006589544589257</v>
      </c>
      <c r="D25" s="143">
        <f>'Income - Continuing Ops'!N49/'Income - Continuing Ops'!B49*100</f>
        <v>5.9305901303265482</v>
      </c>
      <c r="E25" s="147">
        <v>1.1000000000000001</v>
      </c>
      <c r="F25" s="143">
        <f t="shared" si="0"/>
        <v>2.2694599176556038</v>
      </c>
      <c r="G25" s="142">
        <f>(('Income - Continuing Ops'!B49/'Income - Continuing Ops'!B48)-1)*100</f>
        <v>3.3694599176556039</v>
      </c>
      <c r="H25" s="142" t="s">
        <v>196</v>
      </c>
      <c r="I25" s="143" t="s">
        <v>196</v>
      </c>
      <c r="J25" s="142">
        <f>+('Income - Continuing Ops'!F49/'Income - Continuing Ops'!F48-1)*100</f>
        <v>15.65062388591798</v>
      </c>
      <c r="K25" s="142" t="s">
        <v>196</v>
      </c>
      <c r="L25" s="143" t="s">
        <v>196</v>
      </c>
      <c r="M25" s="142">
        <f>+('Income - Continuing Ops'!N49/'Income - Continuing Ops'!N48-1)*100</f>
        <v>13.002232142857096</v>
      </c>
      <c r="N25" s="142" t="s">
        <v>196</v>
      </c>
      <c r="O25" s="143" t="s">
        <v>196</v>
      </c>
      <c r="P25" s="142">
        <f>('Income - Continuing Ops'!W49/'Income - Continuing Ops'!W48-1)*100</f>
        <v>13.776220034246522</v>
      </c>
      <c r="Q25" s="142" t="s">
        <v>196</v>
      </c>
      <c r="R25" s="143" t="s">
        <v>196</v>
      </c>
      <c r="S25" s="142">
        <f>('Cash Flow'!O55/'Cash Flow'!O54-1)*100</f>
        <v>36.728488902401949</v>
      </c>
      <c r="T25" s="147">
        <f>(('Cash Flow'!O55/'Cash Flow'!O50)^0.2-1)*100</f>
        <v>-6.0291072366459142</v>
      </c>
      <c r="U25" s="143">
        <f>(('Cash Flow'!O55/'Cash Flow'!O45)^0.1-1)*100</f>
        <v>-0.13683423090484759</v>
      </c>
      <c r="V25" s="147">
        <f>+('Income - Continuing Ops'!Y49/'Income - Continuing Ops'!Y48-1)*100</f>
        <v>3.6363636363636154</v>
      </c>
      <c r="W25" s="142">
        <f>(('Income - Continuing Ops'!Y49/'Income - Continuing Ops'!Y44)^0.2-1)*100</f>
        <v>7.8852443962371455</v>
      </c>
      <c r="X25" s="143">
        <f>(('Income - Continuing Ops'!Y49/'Income - Historical'!X45)^0.1-1)*100</f>
        <v>8.5909130346304643</v>
      </c>
      <c r="Y25" s="147">
        <f>('Income - Continuing Ops'!Z49/'Income - Continuing Ops'!Z48-1)*100</f>
        <v>18.142361111111114</v>
      </c>
      <c r="Z25" s="142">
        <f>(('Income - Continuing Ops'!Z49/'Income - Continuing Ops'!Z44)^0.2-1)*100</f>
        <v>9.3121227585969422</v>
      </c>
      <c r="AA25" s="143">
        <f>(('Income - Continuing Ops'!Z49/'Income - Historical'!Y45)^0.1-1)*100</f>
        <v>1.9498349048024277</v>
      </c>
    </row>
    <row r="26" spans="1:29" ht="15.5" x14ac:dyDescent="0.35">
      <c r="A26" s="166">
        <v>2013</v>
      </c>
      <c r="B26" s="142">
        <f>'Income - Continuing Ops'!C50/'Income - Continuing Ops'!B50*100</f>
        <v>20.415851834809619</v>
      </c>
      <c r="C26" s="142">
        <f>'Income - Continuing Ops'!F50/'Income - Continuing Ops'!B50*100</f>
        <v>9.5680432531922239</v>
      </c>
      <c r="D26" s="143">
        <f>'Income - Continuing Ops'!N50/'Income - Continuing Ops'!B50*100</f>
        <v>6.3413090992752785</v>
      </c>
      <c r="E26" s="147">
        <v>0.6</v>
      </c>
      <c r="F26" s="143">
        <f t="shared" si="0"/>
        <v>1.2362864255381472</v>
      </c>
      <c r="G26" s="142">
        <f>(('Income - Continuing Ops'!B50/'Income - Continuing Ops'!B49)-1)*100</f>
        <v>1.8362864255381472</v>
      </c>
      <c r="H26" s="142" t="s">
        <v>196</v>
      </c>
      <c r="I26" s="143" t="s">
        <v>196</v>
      </c>
      <c r="J26" s="142">
        <f>+('Income - Continuing Ops'!F50/'Income - Continuing Ops'!F49-1)*100</f>
        <v>2.5585696670776814</v>
      </c>
      <c r="K26" s="142" t="s">
        <v>196</v>
      </c>
      <c r="L26" s="143" t="s">
        <v>196</v>
      </c>
      <c r="M26" s="142">
        <f>+('Income - Continuing Ops'!N50/'Income - Continuing Ops'!N49-1)*100</f>
        <v>8.8888888888888786</v>
      </c>
      <c r="N26" s="142" t="s">
        <v>196</v>
      </c>
      <c r="O26" s="143" t="s">
        <v>196</v>
      </c>
      <c r="P26" s="142">
        <f>('Income - Continuing Ops'!W50/'Income - Continuing Ops'!W49-1)*100</f>
        <v>8.0012077294685735</v>
      </c>
      <c r="Q26" s="142" t="s">
        <v>196</v>
      </c>
      <c r="R26" s="143" t="s">
        <v>196</v>
      </c>
      <c r="S26" s="142">
        <f>('Cash Flow'!O56/'Cash Flow'!O55-1)*100</f>
        <v>-7.2937513898154505</v>
      </c>
      <c r="T26" s="147">
        <f>(('Cash Flow'!O56/'Cash Flow'!O51)^0.2-1)*100</f>
        <v>-0.90100577308517282</v>
      </c>
      <c r="U26" s="143">
        <f>(('Cash Flow'!O56/'Cash Flow'!O46)^0.1-1)*100</f>
        <v>0.53343185411915961</v>
      </c>
      <c r="V26" s="147">
        <f>+('Income - Continuing Ops'!Y50/'Income - Continuing Ops'!Y49-1)*100</f>
        <v>3.5087719298245723</v>
      </c>
      <c r="W26" s="142">
        <f>(('Income - Continuing Ops'!Y50/'Income - Continuing Ops'!Y45)^0.2-1)*100</f>
        <v>3.3656884345193427</v>
      </c>
      <c r="X26" s="143">
        <f>(('Income - Continuing Ops'!Y50/'Income - Historical'!X46)^0.1-1)*100</f>
        <v>8.1306527634017467</v>
      </c>
      <c r="Y26" s="147">
        <f>('Income - Continuing Ops'!Z50/'Income - Continuing Ops'!Z49-1)*100</f>
        <v>13.666421748714196</v>
      </c>
      <c r="Z26" s="142">
        <f>(('Income - Continuing Ops'!Z50/'Income - Continuing Ops'!Z45)^0.2-1)*100</f>
        <v>15.290230401608751</v>
      </c>
      <c r="AA26" s="143">
        <f>(('Income - Continuing Ops'!Z50/'Income - Historical'!Y46)^0.1-1)*100</f>
        <v>3.6445282146940317</v>
      </c>
    </row>
    <row r="27" spans="1:29" ht="15.5" x14ac:dyDescent="0.35">
      <c r="A27" s="166">
        <v>2014</v>
      </c>
      <c r="B27" s="142">
        <f>'Income - Continuing Ops'!C51/'Income - Continuing Ops'!B51*100</f>
        <v>20.897337598815536</v>
      </c>
      <c r="C27" s="142">
        <f>'Income - Continuing Ops'!F51/'Income - Continuing Ops'!B51*100</f>
        <v>10.176347724929274</v>
      </c>
      <c r="D27" s="143">
        <f>'Income - Continuing Ops'!N51/'Income - Continuing Ops'!B51*100</f>
        <v>6.7445734077148805</v>
      </c>
      <c r="E27" s="147">
        <v>5.4</v>
      </c>
      <c r="F27" s="143">
        <f t="shared" si="0"/>
        <v>3.3743011618543814</v>
      </c>
      <c r="G27" s="142">
        <f>(('Income - Continuing Ops'!B51/'Income - Continuing Ops'!B50)-1)*100</f>
        <v>8.7743011618543818</v>
      </c>
      <c r="H27" s="142">
        <f>(('Income - Continuing Ops'!B51/'Income - Continuing Ops'!B46)^0.2-1)*100</f>
        <v>7.189292108137213</v>
      </c>
      <c r="I27" s="143" t="s">
        <v>196</v>
      </c>
      <c r="J27" s="142">
        <f>+('Income - Continuing Ops'!F51/'Income - Continuing Ops'!F50-1)*100</f>
        <v>15.689810640216395</v>
      </c>
      <c r="K27" s="142">
        <f>(('Income - Continuing Ops'!F51/'Income - Continuing Ops'!F46)^0.2-1)*100</f>
        <v>11.158063476388502</v>
      </c>
      <c r="L27" s="143" t="s">
        <v>196</v>
      </c>
      <c r="M27" s="142">
        <f>+('Income - Continuing Ops'!N51/'Income - Continuing Ops'!N50-1)*100</f>
        <v>15.691609977324262</v>
      </c>
      <c r="N27" s="142">
        <f>(('Income - Continuing Ops'!N51/'Income - Continuing Ops'!N46)^0.2-1)*100</f>
        <v>15.745047731623551</v>
      </c>
      <c r="O27" s="143" t="s">
        <v>196</v>
      </c>
      <c r="P27" s="142">
        <f>('Income - Continuing Ops'!W51/'Income - Continuing Ops'!W50-1)*100</f>
        <v>18.923219194567963</v>
      </c>
      <c r="Q27" s="142">
        <f>(('Income - Continuing Ops'!W51/'Income - Continuing Ops'!W46)^0.2-1)*100</f>
        <v>18.341702068998742</v>
      </c>
      <c r="R27" s="143" t="s">
        <v>196</v>
      </c>
      <c r="S27" s="142">
        <f>('Cash Flow'!O57/'Cash Flow'!O56-1)*100</f>
        <v>-8.3952986327656234</v>
      </c>
      <c r="T27" s="147">
        <f>(('Cash Flow'!O57/'Cash Flow'!O52)^0.2-1)*100</f>
        <v>-7.5442055826219772</v>
      </c>
      <c r="U27" s="143">
        <f>(('Cash Flow'!O57/'Cash Flow'!O47)^0.1-1)*100</f>
        <v>1.0948211450826584</v>
      </c>
      <c r="V27" s="147">
        <f>+('Income - Continuing Ops'!Y51/'Income - Continuing Ops'!Y50-1)*100</f>
        <v>3.3898305084745894</v>
      </c>
      <c r="W27" s="142">
        <f>(('Income - Continuing Ops'!Y51/'Income - Continuing Ops'!Y46)^0.2-1)*100</f>
        <v>3.6458533984520258</v>
      </c>
      <c r="X27" s="143">
        <f>(('Income - Continuing Ops'!Y51/'Income - Historical'!X47)^0.1-1)*100</f>
        <v>7.7192159588882925</v>
      </c>
      <c r="Y27" s="147">
        <f>('Income - Continuing Ops'!Z51/'Income - Continuing Ops'!Z50-1)*100</f>
        <v>37.718164188752425</v>
      </c>
      <c r="Z27" s="142">
        <f>(('Income - Continuing Ops'!Z51/'Income - Continuing Ops'!Z46)^0.2-1)*100</f>
        <v>15.871405084226996</v>
      </c>
      <c r="AA27" s="143">
        <f>(('Income - Continuing Ops'!Z51/'Income - Historical'!Y47)^0.1-1)*100</f>
        <v>4.1294243325458169</v>
      </c>
    </row>
    <row r="28" spans="1:29" ht="15.5" x14ac:dyDescent="0.35">
      <c r="A28" s="253" t="s">
        <v>248</v>
      </c>
      <c r="B28" s="154">
        <f>'Income - Continuing Ops'!C52/'Income - Continuing Ops'!B52*100</f>
        <v>22.592668232410908</v>
      </c>
      <c r="C28" s="154">
        <f>'Income - Continuing Ops'!F52/'Income - Continuing Ops'!B52*100</f>
        <v>11.722659042172982</v>
      </c>
      <c r="D28" s="155">
        <f>'Income - Continuing Ops'!N52/'Income - Continuing Ops'!B52*100</f>
        <v>7.8423363627080551</v>
      </c>
      <c r="E28" s="159">
        <v>0.3</v>
      </c>
      <c r="F28" s="155">
        <f t="shared" si="0"/>
        <v>3.2666129074901411</v>
      </c>
      <c r="G28" s="154">
        <f>(('Income - Continuing Ops'!B52/'Income - Continuing Ops'!B51)-1)*100</f>
        <v>3.5666129074901409</v>
      </c>
      <c r="H28" s="154">
        <f>(('Income - Continuing Ops'!B52/'Income - Continuing Ops'!B47)^0.2-1)*100</f>
        <v>5.6199766379528171</v>
      </c>
      <c r="I28" s="155" t="s">
        <v>196</v>
      </c>
      <c r="J28" s="154">
        <f>+('Income - Continuing Ops'!F52/'Income - Continuing Ops'!F51-1)*100</f>
        <v>19.303715250714504</v>
      </c>
      <c r="K28" s="154">
        <f>(('Income - Continuing Ops'!F52/'Income - Continuing Ops'!F47)^0.2-1)*100</f>
        <v>10.518590112037106</v>
      </c>
      <c r="L28" s="155" t="s">
        <v>196</v>
      </c>
      <c r="M28" s="154">
        <f>+('Income - Continuing Ops'!N52/'Income - Continuing Ops'!N51-1)*100</f>
        <v>20.423363386907091</v>
      </c>
      <c r="N28" s="154">
        <f>(('Income - Continuing Ops'!N52/'Income - Continuing Ops'!N47)^0.2-1)*100</f>
        <v>12.536221984179917</v>
      </c>
      <c r="O28" s="155" t="s">
        <v>196</v>
      </c>
      <c r="P28" s="154">
        <f>('Income - Continuing Ops'!W52/'Income - Continuing Ops'!W51-1)*100</f>
        <v>20.395502360659879</v>
      </c>
      <c r="Q28" s="154">
        <f>(('Income - Continuing Ops'!W52/'Income - Continuing Ops'!W47)^0.2-1)*100</f>
        <v>14.075415840939275</v>
      </c>
      <c r="R28" s="155" t="s">
        <v>196</v>
      </c>
      <c r="S28" s="154">
        <f>('Cash Flow'!O58/'Cash Flow'!O57-1)*100</f>
        <v>-5.9701492537313605</v>
      </c>
      <c r="T28" s="159">
        <f>(('Cash Flow'!O58/'Cash Flow'!O53)^0.2-1)*100</f>
        <v>-0.18829396532255016</v>
      </c>
      <c r="U28" s="155">
        <f>(('Cash Flow'!O58/'Cash Flow'!O48)^0.1-1)*100</f>
        <v>-2.1941871865237106</v>
      </c>
      <c r="V28" s="159">
        <f>+('Income - Continuing Ops'!Y52/'Income - Continuing Ops'!Y51-1)*100</f>
        <v>3.2786885245901676</v>
      </c>
      <c r="W28" s="154">
        <f>(('Income - Continuing Ops'!Y52/'Income - Continuing Ops'!Y47)^0.2-1)*100</f>
        <v>3.517300006217261</v>
      </c>
      <c r="X28" s="155">
        <f>(('Income - Continuing Ops'!Y52/'Income - Historical'!X48)^0.1-1)*100</f>
        <v>7.1773462536293131</v>
      </c>
      <c r="Y28" s="159">
        <f>('Income - Continuing Ops'!Z52/'Income - Continuing Ops'!Z51-1)*100</f>
        <v>-1.3846514902604912</v>
      </c>
      <c r="Z28" s="154">
        <f>(('Income - Continuing Ops'!Z52/'Income - Continuing Ops'!Z47)^0.2-1)*100</f>
        <v>13.046405575400243</v>
      </c>
      <c r="AA28" s="155">
        <f>(('Income - Continuing Ops'!Z52/'Income - Historical'!Y48)^0.1-1)*100</f>
        <v>6.2303020752839444</v>
      </c>
    </row>
    <row r="29" spans="1:29" ht="15.5" x14ac:dyDescent="0.35">
      <c r="A29" s="60" t="s">
        <v>249</v>
      </c>
      <c r="B29" s="142">
        <f>'Income - Continuing Ops'!C53/'Income - Continuing Ops'!B53*100</f>
        <v>24.357982879543453</v>
      </c>
      <c r="C29" s="142">
        <f>'Income - Continuing Ops'!F53/'Income - Continuing Ops'!B53*100</f>
        <v>13.451025360676287</v>
      </c>
      <c r="D29" s="143">
        <f>'Income - Continuing Ops'!N53/'Income - Continuing Ops'!B53*100</f>
        <v>9.4989199711992338</v>
      </c>
      <c r="E29" s="147">
        <v>-1.4</v>
      </c>
      <c r="F29" s="143">
        <f t="shared" si="0"/>
        <v>-2.8709077912794769</v>
      </c>
      <c r="G29" s="142">
        <f>(('Income - Continuing Ops'!B53/'Income - Continuing Ops'!B52)-1)*100</f>
        <v>-4.2709077912794768</v>
      </c>
      <c r="H29" s="142">
        <f>(('Income - Continuing Ops'!B53/'Income - Continuing Ops'!B48)^0.2-1)*100</f>
        <v>2.569198843510101</v>
      </c>
      <c r="I29" s="143" t="s">
        <v>196</v>
      </c>
      <c r="J29" s="142">
        <f>+('Income - Continuing Ops'!F53/'Income - Continuing Ops'!F52-1)*100</f>
        <v>9.8432055749128935</v>
      </c>
      <c r="K29" s="142">
        <f>(('Income - Continuing Ops'!F53/'Income - Continuing Ops'!F48)^0.2-1)*100</f>
        <v>12.452325873324543</v>
      </c>
      <c r="L29" s="143" t="s">
        <v>196</v>
      </c>
      <c r="M29" s="142">
        <f>+('Income - Continuing Ops'!N53/'Income - Continuing Ops'!N52-1)*100</f>
        <v>15.950520833333371</v>
      </c>
      <c r="N29" s="142">
        <f>(('Income - Continuing Ops'!N53/'Income - Continuing Ops'!N48)^0.2-1)*100</f>
        <v>14.728464720945977</v>
      </c>
      <c r="O29" s="143" t="s">
        <v>196</v>
      </c>
      <c r="P29" s="142">
        <f>('Income - Continuing Ops'!W53/'Income - Continuing Ops'!W52-1)*100</f>
        <v>18.628264166307606</v>
      </c>
      <c r="Q29" s="142">
        <f>(('Income - Continuing Ops'!W53/'Income - Continuing Ops'!W48)^0.2-1)*100</f>
        <v>15.853468833389162</v>
      </c>
      <c r="R29" s="143" t="s">
        <v>196</v>
      </c>
      <c r="S29" s="142">
        <f>('Cash Flow (2)'!O10/'Cash Flow'!O58-1)*100</f>
        <v>53.884711779448644</v>
      </c>
      <c r="T29" s="147">
        <f>(('Cash Flow (2)'!O10/'Cash Flow'!O54)^0.2-1)*100</f>
        <v>10.935207852715113</v>
      </c>
      <c r="U29" s="143">
        <f>(('Cash Flow (2)'!O10/'Cash Flow'!O49)^0.1-1)*100</f>
        <v>1.4417200122782248</v>
      </c>
      <c r="V29" s="147">
        <f>+('Income - Continuing Ops'!Y53/'Income - Continuing Ops'!Y52-1)*100</f>
        <v>6.3492063492063489</v>
      </c>
      <c r="W29" s="142">
        <f>(('Income - Continuing Ops'!Y53/'Income - Continuing Ops'!Y48)^0.2-1)*100</f>
        <v>4.0261253434173971</v>
      </c>
      <c r="X29" s="143">
        <f>(('Income - Continuing Ops'!Y53/'Income - Historical'!X49)^0.1-1)*100</f>
        <v>7.1773462536293131</v>
      </c>
      <c r="Y29" s="147">
        <f>('Income - Continuing Ops'!Z53/'Income - Continuing Ops'!Z52-1)*100</f>
        <v>16.325559257496437</v>
      </c>
      <c r="Z29" s="142">
        <f>(('Income - Continuing Ops'!Z53/'Income - Continuing Ops'!Z48)^0.2-1)*100</f>
        <v>16.233079570872899</v>
      </c>
      <c r="AA29" s="143">
        <f>(('Income - Continuing Ops'!Z53/'Income - Historical'!Y49)^0.1-1)*100</f>
        <v>7.4170768304176571</v>
      </c>
    </row>
    <row r="30" spans="1:29" ht="15.5" x14ac:dyDescent="0.35">
      <c r="A30" s="60" t="s">
        <v>250</v>
      </c>
      <c r="B30" s="142">
        <f>'Income - Continuing Ops'!C54/'Income - Continuing Ops'!B54*100</f>
        <v>23.064049901110604</v>
      </c>
      <c r="C30" s="142">
        <f>'Income - Continuing Ops'!F54/'Income - Continuing Ops'!B54*100</f>
        <v>12.219179471575638</v>
      </c>
      <c r="D30" s="143">
        <f>'Income - Continuing Ops'!N54/'Income - Continuing Ops'!B54*100</f>
        <v>8.8772250114103155</v>
      </c>
      <c r="E30" s="147">
        <v>5.6</v>
      </c>
      <c r="F30" s="143">
        <f t="shared" si="0"/>
        <v>-0.42919544521186648</v>
      </c>
      <c r="G30" s="142">
        <f>(('Income - Continuing Ops'!B54/'Income - Continuing Ops'!B53)-1)*100</f>
        <v>5.1708045547881332</v>
      </c>
      <c r="H30" s="142">
        <f>(('Income - Continuing Ops'!B54/'Income - Continuing Ops'!B49)^0.2-1)*100</f>
        <v>2.9242125805910568</v>
      </c>
      <c r="I30" s="143" t="s">
        <v>196</v>
      </c>
      <c r="J30" s="142">
        <f>+('Income - Continuing Ops'!F54/'Income - Continuing Ops'!F53-1)*100</f>
        <v>-4.4607454401268782</v>
      </c>
      <c r="K30" s="142">
        <f>(('Income - Continuing Ops'!F54/'Income - Continuing Ops'!F49)^0.2-1)*100</f>
        <v>8.2368678402053632</v>
      </c>
      <c r="L30" s="143" t="s">
        <v>196</v>
      </c>
      <c r="M30" s="142">
        <f>+('Income - Continuing Ops'!N54/'Income - Continuing Ops'!N53-1)*100</f>
        <v>-1.7125210555867576</v>
      </c>
      <c r="N30" s="142">
        <f>(('Income - Continuing Ops'!N54/'Income - Continuing Ops'!N49)^0.2-1)*100</f>
        <v>11.571537184763603</v>
      </c>
      <c r="O30" s="143" t="s">
        <v>196</v>
      </c>
      <c r="P30" s="142">
        <f>('Income - Continuing Ops'!W54/'Income - Continuing Ops'!W53-1)*100</f>
        <v>1.0063742351183569</v>
      </c>
      <c r="Q30" s="142">
        <f>(('Income - Continuing Ops'!W54/'Income - Continuing Ops'!W49)^0.2-1)*100</f>
        <v>13.127580260186722</v>
      </c>
      <c r="R30" s="143" t="s">
        <v>196</v>
      </c>
      <c r="S30" s="142">
        <f>('Cash Flow (2)'!O11/'Cash Flow (2)'!O10-1)*100</f>
        <v>-19.706840390879478</v>
      </c>
      <c r="T30" s="147">
        <f>(('Cash Flow (2)'!O11/'Cash Flow'!O55)^0.2-1)*100</f>
        <v>-0.2682801915898092</v>
      </c>
      <c r="U30" s="143">
        <f>(('Cash Flow (2)'!O11/'Cash Flow'!O50)^0.1-1)*100</f>
        <v>-3.1915357666438826</v>
      </c>
      <c r="V30" s="147">
        <f>+('Income - Continuing Ops'!Y54/'Income - Continuing Ops'!Y53-1)*100</f>
        <v>5.9701492537313383</v>
      </c>
      <c r="W30" s="142">
        <f>(('Income - Continuing Ops'!Y54/'Income - Continuing Ops'!Y49)^0.2-1)*100</f>
        <v>4.4904738405944444</v>
      </c>
      <c r="X30" s="143">
        <f>(('Income - Continuing Ops'!Y54/'Income - Continuing Ops'!Y44)^0.1-1)*100</f>
        <v>6.1742921208856272</v>
      </c>
      <c r="Y30" s="147">
        <f>('Income - Continuing Ops'!Z54/'Income - Continuing Ops'!Z53-1)*100</f>
        <v>-2.3527004909983718</v>
      </c>
      <c r="Z30" s="142">
        <f>(('Income - Continuing Ops'!Z54/'Income - Continuing Ops'!Z49)^0.2-1)*100</f>
        <v>11.887266216899661</v>
      </c>
      <c r="AA30" s="143">
        <f>(('Income - Continuing Ops'!Z54/'Income - Continuing Ops'!Z44)^0.1-1)*100</f>
        <v>10.592199452879814</v>
      </c>
    </row>
    <row r="31" spans="1:29" ht="15.5" x14ac:dyDescent="0.35">
      <c r="A31" s="398" t="s">
        <v>231</v>
      </c>
      <c r="B31" s="142">
        <f>'Income - Continuing Ops'!C55/'Income - Continuing Ops'!B55*100</f>
        <v>21.61377210446188</v>
      </c>
      <c r="C31" s="142">
        <f>'Income - Continuing Ops'!F55/'Income - Continuing Ops'!B55*100</f>
        <v>11.774212437053521</v>
      </c>
      <c r="D31" s="143">
        <f>'Income - Continuing Ops'!N55/'Income - Continuing Ops'!B55*100</f>
        <v>8.3873989928563084</v>
      </c>
      <c r="E31" s="147">
        <v>6.2</v>
      </c>
      <c r="F31" s="143">
        <f t="shared" si="0"/>
        <v>2.0585323799381205</v>
      </c>
      <c r="G31" s="142">
        <f>(('Income - Continuing Ops'!B55/'Income - Continuing Ops'!B54)-1)*100</f>
        <v>8.2585323799381207</v>
      </c>
      <c r="H31" s="142">
        <f>(('Income - Continuing Ops'!B55/'Income - Continuing Ops'!B50)^0.2-1)*100</f>
        <v>4.1908232076657947</v>
      </c>
      <c r="I31" s="143" t="s">
        <v>196</v>
      </c>
      <c r="J31" s="142">
        <f>+('Income - Continuing Ops'!F55/'Income - Continuing Ops'!F54-1)*100</f>
        <v>4.3162481842706102</v>
      </c>
      <c r="K31" s="142">
        <f>(('Income - Continuing Ops'!F55/'Income - Continuing Ops'!F50)^0.2-1)*100</f>
        <v>8.6053493358484889</v>
      </c>
      <c r="L31" s="143" t="s">
        <v>196</v>
      </c>
      <c r="M31" s="142">
        <f>+('Income - Continuing Ops'!N55/'Income - Continuing Ops'!N54-1)*100</f>
        <v>2.2850614110254464</v>
      </c>
      <c r="N31" s="142">
        <f>(('Income - Continuing Ops'!N55/'Income - Continuing Ops'!N50)^0.2-1)*100</f>
        <v>10.184155006580987</v>
      </c>
      <c r="O31" s="143" t="s">
        <v>196</v>
      </c>
      <c r="P31" s="142">
        <f>('Income - Continuing Ops'!W55/'Income - Continuing Ops'!W54-1)*100</f>
        <v>3.0654178145740563</v>
      </c>
      <c r="Q31" s="142">
        <f>(('Income - Continuing Ops'!W55/'Income - Continuing Ops'!W50)^0.2-1)*100</f>
        <v>12.074128161573118</v>
      </c>
      <c r="R31" s="143" t="s">
        <v>196</v>
      </c>
      <c r="S31" s="142">
        <f>('Cash Flow (2)'!O12/'Cash Flow (2)'!O11-1)*100</f>
        <v>-0.76628352490422103</v>
      </c>
      <c r="T31" s="147">
        <f>(('Cash Flow (2)'!O12/'Cash Flow'!O56)^0.2-1)*100</f>
        <v>1.0981848200513733</v>
      </c>
      <c r="U31" s="143">
        <f>(('Cash Flow (2)'!O12/'Cash Flow'!O51)^0.1-1)*100</f>
        <v>9.3598365898706071E-2</v>
      </c>
      <c r="V31" s="147">
        <f>+('Income - Continuing Ops'!Y55/'Income - Continuing Ops'!Y54-1)*100</f>
        <v>5.6338028169014231</v>
      </c>
      <c r="W31" s="142">
        <f>(('Income - Continuing Ops'!Y55/'Income - Continuing Ops'!Y50)^0.2-1)*100</f>
        <v>4.9160304180333236</v>
      </c>
      <c r="X31" s="143">
        <f>(('Income - Continuing Ops'!Y55/'Income - Continuing Ops'!Y45)^0.1-1)*100</f>
        <v>4.1379743992410623</v>
      </c>
      <c r="Y31" s="147">
        <f>('Income - Continuing Ops'!Z55/'Income - Continuing Ops'!Z54-1)*100</f>
        <v>-24.910957469096996</v>
      </c>
      <c r="Z31" s="142">
        <f>(('Income - Continuing Ops'!Z55/'Income - Continuing Ops'!Z50)^0.2-1)*100</f>
        <v>2.9839483250227561</v>
      </c>
      <c r="AA31" s="143">
        <f>(('Income - Continuing Ops'!Z55/'Income - Continuing Ops'!Z45)^0.1-1)*100</f>
        <v>8.963494483516099</v>
      </c>
    </row>
    <row r="32" spans="1:29" ht="15.5" x14ac:dyDescent="0.35">
      <c r="A32" s="398" t="s">
        <v>232</v>
      </c>
      <c r="B32" s="142">
        <f>'Income - Continuing Ops'!C56/'Income - Continuing Ops'!B56*100</f>
        <v>21.435034192530246</v>
      </c>
      <c r="C32" s="142">
        <f>'Income - Continuing Ops'!F56/'Income - Continuing Ops'!B56*100</f>
        <v>10.478695423461339</v>
      </c>
      <c r="D32" s="143">
        <f>'Income - Continuing Ops'!N56/'Income - Continuing Ops'!B56*100</f>
        <v>6.8195686480799598</v>
      </c>
      <c r="E32" s="147">
        <v>-3.1</v>
      </c>
      <c r="F32" s="143">
        <f t="shared" si="0"/>
        <v>14.41280009368778</v>
      </c>
      <c r="G32" s="142">
        <f>(('Income - Continuing Ops'!B56/'Income - Continuing Ops'!B55)-1)*100</f>
        <v>11.31280009368778</v>
      </c>
      <c r="H32" s="142">
        <f>(('Income - Continuing Ops'!B56/'Income - Continuing Ops'!B51)^0.2-1)*100</f>
        <v>4.6726527019013808</v>
      </c>
      <c r="I32" s="143">
        <f>(('Income - Continuing Ops'!B56/'Income - Continuing Ops'!B46)^0.1-1)*100</f>
        <v>5.9234985553144659</v>
      </c>
      <c r="J32" s="142">
        <f>+('Income - Continuing Ops'!F56/'Income - Continuing Ops'!F55-1)*100</f>
        <v>-0.93495126317882926</v>
      </c>
      <c r="K32" s="142">
        <f>(('Income - Continuing Ops'!F56/'Income - Continuing Ops'!F51)^0.2-1)*100</f>
        <v>5.2873721487925129</v>
      </c>
      <c r="L32" s="143">
        <f>(('Income - Continuing Ops'!F56/'Income - Continuing Ops'!F46)^0.1-1)*100</f>
        <v>8.1829025150352397</v>
      </c>
      <c r="M32" s="142">
        <f>+('Income - Continuing Ops'!N56/'Income - Continuing Ops'!N55-1)*100</f>
        <v>-9.4945545936889086</v>
      </c>
      <c r="N32" s="142">
        <f>(('Income - Continuing Ops'!N56/'Income - Continuing Ops'!N51)^0.2-1)*100</f>
        <v>4.9044024921294005</v>
      </c>
      <c r="O32" s="143">
        <f>(('Income - Continuing Ops'!N56/'Income - Continuing Ops'!N46)^0.1-1)*100</f>
        <v>10.191492746531793</v>
      </c>
      <c r="P32" s="142">
        <f>('Income - Continuing Ops'!W56/'Income - Continuing Ops'!W55-1)*100</f>
        <v>-9.6282406282625068</v>
      </c>
      <c r="Q32" s="142">
        <f>(('Income - Continuing Ops'!W56/'Income - Continuing Ops'!W51)^0.2-1)*100</f>
        <v>6.0861247438112498</v>
      </c>
      <c r="R32" s="143">
        <f>(('Income - Continuing Ops'!W56/'Income - Continuing Ops'!W46)^0.1-1)*100</f>
        <v>12.046475036418469</v>
      </c>
      <c r="S32" s="142">
        <f>('Cash Flow (2)'!O13/'Cash Flow (2)'!O12-1)*100</f>
        <v>51.714739950034058</v>
      </c>
      <c r="T32" s="147">
        <f>(('Cash Flow (2)'!O13/'Cash Flow'!O57)^0.2-1)*100</f>
        <v>11.831811751149646</v>
      </c>
      <c r="U32" s="143">
        <f>(('Cash Flow (2)'!O13/'Cash Flow'!O52)^0.1-1)*100</f>
        <v>1.6833270334287054</v>
      </c>
      <c r="V32" s="147">
        <f>+('Income - Continuing Ops'!Y56/'Income - Continuing Ops'!Y55-1)*100</f>
        <v>5.3333333333333455</v>
      </c>
      <c r="W32" s="142">
        <f>(('Income - Continuing Ops'!Y56/'Income - Continuing Ops'!Y51)^0.2-1)*100</f>
        <v>5.3075360122292414</v>
      </c>
      <c r="X32" s="143">
        <f>(('Income - Continuing Ops'!Y56/'Income - Continuing Ops'!Y46)^0.1-1)*100</f>
        <v>4.4733910585643688</v>
      </c>
      <c r="Y32" s="147">
        <f>('Income - Continuing Ops'!Z56/'Income - Continuing Ops'!Z55-1)*100</f>
        <v>41.824776785714256</v>
      </c>
      <c r="Z32" s="142">
        <f>(('Income - Continuing Ops'!Z56/'Income - Continuing Ops'!Z51)^0.2-1)*100</f>
        <v>3.5909259648461811</v>
      </c>
      <c r="AA32" s="143">
        <f>(('Income - Continuing Ops'!Z56/'Income - Continuing Ops'!Z46)^0.1-1)*100</f>
        <v>9.5592357837661179</v>
      </c>
    </row>
    <row r="33" spans="1:27" ht="15.5" x14ac:dyDescent="0.35">
      <c r="A33" s="253" t="s">
        <v>233</v>
      </c>
      <c r="B33" s="154">
        <f>'Income - Continuing Ops'!C57/'Income - Continuing Ops'!B57*100</f>
        <v>21.134526423998881</v>
      </c>
      <c r="C33" s="154">
        <f>'Income - Continuing Ops'!F57/'Income - Continuing Ops'!B57*100</f>
        <v>10.576608569693006</v>
      </c>
      <c r="D33" s="155">
        <f>'Income - Continuing Ops'!N57/'Income - Continuing Ops'!B57*100</f>
        <v>6.8641652259240242</v>
      </c>
      <c r="E33" s="159">
        <v>-10.8</v>
      </c>
      <c r="F33" s="155">
        <f>+G33-E33</f>
        <v>0.86207259337190045</v>
      </c>
      <c r="G33" s="154">
        <f>(('Income - Continuing Ops'!B57/'Income - Continuing Ops'!B56)-1)*100</f>
        <v>-9.9379274066281003</v>
      </c>
      <c r="H33" s="154">
        <f>(('Income - Continuing Ops'!B57/'Income - Continuing Ops'!B52)^0.2-1)*100</f>
        <v>1.7882536493208923</v>
      </c>
      <c r="I33" s="155">
        <f>(('Income - Continuing Ops'!B57/'Income - Continuing Ops'!B47)^0.1-1)*100</f>
        <v>3.6864165281995209</v>
      </c>
      <c r="J33" s="154">
        <f>+('Income - Continuing Ops'!F57/'Income - Continuing Ops'!F56-1)*100</f>
        <v>-9.096385542168683</v>
      </c>
      <c r="K33" s="154">
        <f>(('Income - Continuing Ops'!F57/'Income - Continuing Ops'!F52)^0.2-1)*100</f>
        <v>-0.28471771937669255</v>
      </c>
      <c r="L33" s="155">
        <f>(('Income - Continuing Ops'!F57/'Income - Continuing Ops'!F47)^0.1-1)*100</f>
        <v>4.9780568036877249</v>
      </c>
      <c r="M33" s="154">
        <f>+('Income - Continuing Ops'!N57/'Income - Continuing Ops'!N56-1)*100</f>
        <v>-9.3489663684048097</v>
      </c>
      <c r="N33" s="154">
        <f>(('Income - Continuing Ops'!N57/'Income - Continuing Ops'!N52)^0.2-1)*100</f>
        <v>-0.88802827983049948</v>
      </c>
      <c r="O33" s="155">
        <f>(('Income - Continuing Ops'!N57/'Income - Continuing Ops'!N47)^0.1-1)*100</f>
        <v>5.6110167112823461</v>
      </c>
      <c r="P33" s="154">
        <f>('Income - Continuing Ops'!W57/'Income - Continuing Ops'!W56-1)*100</f>
        <v>-9.6824874634437901</v>
      </c>
      <c r="Q33" s="154">
        <f>(('Income - Continuing Ops'!W57/'Income - Continuing Ops'!W52)^0.2-1)*100</f>
        <v>0.15921824949445273</v>
      </c>
      <c r="R33" s="155">
        <f>(('Income - Continuing Ops'!W57/'Income - Continuing Ops'!W47)^0.1-1)*100</f>
        <v>6.8910869629197569</v>
      </c>
      <c r="S33" s="153">
        <f>('Cash Flow (2)'!O14/'Cash Flow (2)'!O13-1)*100</f>
        <v>-9.7904191616766454</v>
      </c>
      <c r="T33" s="159">
        <f>(('Cash Flow (2)'!O14/'Cash Flow'!O58)^0.2-1)*100</f>
        <v>10.907966978915852</v>
      </c>
      <c r="U33" s="155">
        <f>(('Cash Flow (2)'!O14/'Cash Flow'!O53)^0.1-1)*100</f>
        <v>5.2136559435288499</v>
      </c>
      <c r="V33" s="159">
        <f>+('Income - Continuing Ops'!Y57/'Income - Continuing Ops'!Y56-1)*100</f>
        <v>1.2658227848101333</v>
      </c>
      <c r="W33" s="154">
        <f>(('Income - Continuing Ops'!Y57/'Income - Continuing Ops'!Y52)^0.2-1)*100</f>
        <v>4.8938165624699659</v>
      </c>
      <c r="X33" s="155">
        <f>(('Income - Continuing Ops'!Y57/'Income - Continuing Ops'!Y47)^0.1-1)*100</f>
        <v>4.2032853507715684</v>
      </c>
      <c r="Y33" s="159">
        <f>('Income - Continuing Ops'!Z57/'Income - Continuing Ops'!Z56-1)*100</f>
        <v>-12.846744048790082</v>
      </c>
      <c r="Z33" s="154">
        <f>(('Income - Continuing Ops'!Z57/'Income - Continuing Ops'!Z52)^0.2-1)*100</f>
        <v>1.0623832706174063</v>
      </c>
      <c r="AA33" s="155">
        <f>(('Income - Continuing Ops'!Z57/'Income - Continuing Ops'!Z47)^0.1-1)*100</f>
        <v>6.886571502816774</v>
      </c>
    </row>
    <row r="34" spans="1:27" ht="15.5" x14ac:dyDescent="0.35">
      <c r="A34" s="60">
        <v>2021</v>
      </c>
      <c r="B34" s="142">
        <f>'Income - Continuing Ops'!C58/'Income - Continuing Ops'!B58*100</f>
        <v>20.468793123841813</v>
      </c>
      <c r="C34" s="142">
        <f>'Income - Continuing Ops'!F58/'Income - Continuing Ops'!B58*100</f>
        <v>11.19347080392698</v>
      </c>
      <c r="D34" s="143">
        <f>'Income - Continuing Ops'!N58/'Income - Continuing Ops'!B58*100</f>
        <v>7.5148838859756335</v>
      </c>
      <c r="E34" s="147">
        <v>18.100000000000001</v>
      </c>
      <c r="F34" s="143">
        <f>+G34-E34</f>
        <v>0.41315359095371207</v>
      </c>
      <c r="G34" s="142">
        <f>(('Income - Continuing Ops'!B58/'Income - Continuing Ops'!B57)-1)*100</f>
        <v>18.513153590953713</v>
      </c>
      <c r="H34" s="142">
        <f>(('Income - Continuing Ops'!B58/'Income - Continuing Ops'!B53)^0.2-1)*100</f>
        <v>6.2287781429629874</v>
      </c>
      <c r="I34" s="143">
        <f>(('Income - Continuing Ops'!B58/'Income - Continuing Ops'!B48)^0.1-1)*100</f>
        <v>4.3829520000689071</v>
      </c>
      <c r="J34" s="142">
        <f>+('Income - Continuing Ops'!F58/'Income - Continuing Ops'!F57-1)*100</f>
        <v>25.425226419262192</v>
      </c>
      <c r="K34" s="142">
        <f>(('Income - Continuing Ops'!F58/'Income - Continuing Ops'!F53)^0.2-1)*100</f>
        <v>2.3962523691035464</v>
      </c>
      <c r="L34" s="143">
        <f>(('Income - Continuing Ops'!F58/'Income - Continuing Ops'!F48)^0.1-1)*100</f>
        <v>7.3065549704099508</v>
      </c>
      <c r="M34" s="142">
        <f>+('Income - Continuing Ops'!N58/'Income - Continuing Ops'!N57-1)*100</f>
        <v>29.748127978216445</v>
      </c>
      <c r="N34" s="142">
        <f>(('Income - Continuing Ops'!N58/'Income - Continuing Ops'!N53)^0.2-1)*100</f>
        <v>1.3658800803787896</v>
      </c>
      <c r="O34" s="143">
        <f>(('Income - Continuing Ops'!N58/'Income - Continuing Ops'!N48)^0.1-1)*100</f>
        <v>7.8403996501746009</v>
      </c>
      <c r="P34" s="142">
        <f>('Income - Continuing Ops'!W58/'Income - Continuing Ops'!W57-1)*100</f>
        <v>28.526252375974948</v>
      </c>
      <c r="Q34" s="142">
        <f>(('Income - Continuing Ops'!W58/'Income - Continuing Ops'!W53)^0.2-1)*100</f>
        <v>1.7774721133949178</v>
      </c>
      <c r="R34" s="143">
        <f>(('Income - Continuing Ops'!W58/'Income - Continuing Ops'!W48)^0.1-1)*100</f>
        <v>8.5876290994067794</v>
      </c>
      <c r="S34" s="142">
        <f>('Cash Flow (2)'!O15/'Cash Flow (2)'!O14-1)*100</f>
        <v>-54.978426817125793</v>
      </c>
      <c r="T34" s="147">
        <f>(('Cash Flow (2)'!O15/'Cash Flow (2)'!O10)^0.2-1)*100</f>
        <v>-13.262323818824617</v>
      </c>
      <c r="U34" s="143">
        <f>(('Cash Flow (2)'!O15/'Cash Flow'!O54)^0.1-1)*100</f>
        <v>-1.9068700885725209</v>
      </c>
      <c r="V34" s="147">
        <f>+('Income - Continuing Ops'!Y58/'Income - Continuing Ops'!Y57-1)*100</f>
        <v>3.7499999999999867</v>
      </c>
      <c r="W34" s="142">
        <f>(('Income - Continuing Ops'!Y58/'Income - Continuing Ops'!Y53)^0.2-1)*100</f>
        <v>4.376002056809547</v>
      </c>
      <c r="X34" s="143">
        <f>(('Income - Continuing Ops'!Y58/'Income - Continuing Ops'!Y48)^0.1-1)*100</f>
        <v>4.2009168520434015</v>
      </c>
      <c r="Y34" s="147">
        <f>('Income - Continuing Ops'!Z58/'Income - Continuing Ops'!Z57-1)*100</f>
        <v>-7.088036117381491</v>
      </c>
      <c r="Z34" s="142">
        <f>(('Income - Continuing Ops'!Z58/'Income - Continuing Ops'!Z53)^0.2-1)*100</f>
        <v>-3.3795994046945776</v>
      </c>
      <c r="AA34" s="143">
        <f>(('Income - Continuing Ops'!Z58/'Income - Continuing Ops'!Z48)^0.1-1)*100</f>
        <v>5.9739907267993386</v>
      </c>
    </row>
    <row r="35" spans="1:27" ht="15.5" x14ac:dyDescent="0.35">
      <c r="A35" s="60">
        <v>2022</v>
      </c>
      <c r="B35" s="142">
        <f>'Income - Continuing Ops'!C59/'Income - Continuing Ops'!B59*100</f>
        <v>18.979151689432065</v>
      </c>
      <c r="C35" s="142">
        <f>'Income - Continuing Ops'!F59/'Income - Continuing Ops'!B59*100</f>
        <v>9.4235140964112922</v>
      </c>
      <c r="D35" s="143">
        <f>'Income - Continuing Ops'!N59/'Income - Continuing Ops'!B59*100</f>
        <v>6.019391066120038</v>
      </c>
      <c r="E35" s="147">
        <v>0.3</v>
      </c>
      <c r="F35" s="143">
        <f>+G35-E35</f>
        <v>1.1607893388006054</v>
      </c>
      <c r="G35" s="142">
        <f>(('Income - Continuing Ops'!B59/'Income - Continuing Ops'!B58)-1)*100</f>
        <v>1.4607893388006055</v>
      </c>
      <c r="H35" s="142">
        <f>(('Income - Continuing Ops'!B59/'Income - Continuing Ops'!B54)^0.2-1)*100</f>
        <v>5.4685060401363117</v>
      </c>
      <c r="I35" s="143">
        <f>(('Income - Continuing Ops'!B59/'Income - Continuing Ops'!B49)^0.1-1)*100</f>
        <v>4.1885931195557724</v>
      </c>
      <c r="J35" s="142">
        <f>+('Income - Continuing Ops'!F59/'Income - Continuing Ops'!F58-1)*100</f>
        <v>-14.582599506868609</v>
      </c>
      <c r="K35" s="142">
        <f>(('Income - Continuing Ops'!F59/'Income - Continuing Ops'!F54)^0.2-1)*100</f>
        <v>0.12832761533272397</v>
      </c>
      <c r="L35" s="143">
        <f>(('Income - Continuing Ops'!F59/'Income - Continuing Ops'!F49)^0.1-1)*100</f>
        <v>4.1036817944569703</v>
      </c>
      <c r="M35" s="142">
        <f>+('Income - Continuing Ops'!N59/'Income - Continuing Ops'!N58-1)*100</f>
        <v>-18.730325288562433</v>
      </c>
      <c r="N35" s="142">
        <f>(('Income - Continuing Ops'!N59/'Income - Continuing Ops'!N54)^0.2-1)*100</f>
        <v>-2.4161697532295245</v>
      </c>
      <c r="O35" s="143">
        <f>(('Income - Continuing Ops'!N59/'Income - Continuing Ops'!N49)^0.1-1)*100</f>
        <v>4.3435572759967345</v>
      </c>
      <c r="P35" s="142">
        <f>('Income - Continuing Ops'!W59/'Income - Continuing Ops'!W58-1)*100</f>
        <v>-18.318334790837188</v>
      </c>
      <c r="Q35" s="142">
        <f>(('Income - Continuing Ops'!W59/'Income - Continuing Ops'!W54)^0.2-1)*100</f>
        <v>-2.4545941143072292</v>
      </c>
      <c r="R35" s="143">
        <f>(('Income - Continuing Ops'!W59/'Income - Continuing Ops'!W49)^0.1-1)*100</f>
        <v>5.0479687254646466</v>
      </c>
      <c r="S35" s="142">
        <f>('Cash Flow (2)'!O16/'Cash Flow (2)'!O15-1)*100</f>
        <v>62.698120162182079</v>
      </c>
      <c r="T35" s="147">
        <f>(('Cash Flow (2)'!O16/'Cash Flow (2)'!O11)^0.2-1)*100</f>
        <v>-0.10388928891780225</v>
      </c>
      <c r="U35" s="143">
        <f>(('Cash Flow (2)'!O16/'Cash Flow'!O55)^0.1-1)*100</f>
        <v>-0.18611858369812495</v>
      </c>
      <c r="V35" s="147">
        <f>+('Income - Continuing Ops'!Y59/'Income - Continuing Ops'!Y58-1)*100</f>
        <v>4.8192771084337505</v>
      </c>
      <c r="W35" s="142">
        <f>(('Income - Continuing Ops'!Y59/'Income - Continuing Ops'!Y54)^0.2-1)*100</f>
        <v>4.1482988906745177</v>
      </c>
      <c r="X35" s="143">
        <f>(('Income - Continuing Ops'!Y59/'Income - Continuing Ops'!Y49)^0.1-1)*100</f>
        <v>4.3192460707919267</v>
      </c>
      <c r="Y35" s="147">
        <f>('Income - Continuing Ops'!Z59/'Income - Continuing Ops'!Z58-1)*100</f>
        <v>-21.695821185617103</v>
      </c>
      <c r="Z35" s="142">
        <f>(('Income - Continuing Ops'!Z59/'Income - Continuing Ops'!Z54)^0.2-1)*100</f>
        <v>-7.5527973914225726</v>
      </c>
      <c r="AA35" s="143">
        <f>(('Income - Continuing Ops'!Z59/'Income - Continuing Ops'!Z49)^0.1-1)*100</f>
        <v>1.7038090204765322</v>
      </c>
    </row>
    <row r="36" spans="1:27" ht="15.5" x14ac:dyDescent="0.35">
      <c r="A36" s="60">
        <v>2023</v>
      </c>
      <c r="B36" s="142">
        <f>'Income - Continuing Ops'!C60/'Income - Continuing Ops'!B60*100</f>
        <v>18.068694051171352</v>
      </c>
      <c r="C36" s="142">
        <f>'Income - Continuing Ops'!F60/'Income - Continuing Ops'!B60*100</f>
        <v>7.0577529469028413</v>
      </c>
      <c r="D36" s="143">
        <f>'Income - Continuing Ops'!N60/'Income - Continuing Ops'!B60*100</f>
        <v>4.0018623156201718</v>
      </c>
      <c r="E36" s="147">
        <v>-10.4</v>
      </c>
      <c r="F36" s="143">
        <v>2.2000000000000002</v>
      </c>
      <c r="G36" s="142">
        <f>(('Income - Continuing Ops'!B60/'Income - Continuing Ops'!B59)-1)*100</f>
        <v>-8.1877708045932316</v>
      </c>
      <c r="H36" s="142">
        <f>(('Income - Continuing Ops'!B60/'Income - Continuing Ops'!B55)^0.2-1)*100</f>
        <v>2.049404239744157</v>
      </c>
      <c r="I36" s="143">
        <f>(('Income - Continuing Ops'!B60/'Income - Continuing Ops'!B50)^0.1-1)*100</f>
        <v>3.1145549163201558</v>
      </c>
      <c r="J36" s="142">
        <f>+('Income - Continuing Ops'!F60/'Income - Continuing Ops'!F59-1)*100</f>
        <v>-31.237113402061855</v>
      </c>
      <c r="K36" s="142">
        <f>(('Income - Continuing Ops'!F60/'Income - Continuing Ops'!F55)^0.2-1)*100</f>
        <v>-7.8792658037108332</v>
      </c>
      <c r="L36" s="143">
        <f>(('Income - Continuing Ops'!F60/'Income - Continuing Ops'!F50)^0.1-1)*100</f>
        <v>2.4019707582390026E-2</v>
      </c>
      <c r="M36" s="142">
        <f>+('Income - Continuing Ops'!N60/'Income - Continuing Ops'!N59-1)*100</f>
        <v>-38.960619754680451</v>
      </c>
      <c r="N36" s="142">
        <f>(('Income - Continuing Ops'!N60/'Income - Continuing Ops'!N55)^0.2-1)*100</f>
        <v>-11.988901510906281</v>
      </c>
      <c r="O36" s="143">
        <f>(('Income - Continuing Ops'!N60/'Income - Continuing Ops'!N50)^0.1-1)*100</f>
        <v>-1.5244775681704348</v>
      </c>
      <c r="P36" s="142">
        <f>('Income - Continuing Ops'!W60/'Income - Continuing Ops'!W59-1)*100</f>
        <v>-38.755648805681084</v>
      </c>
      <c r="Q36" s="142">
        <f>(('Income - Continuing Ops'!W60/'Income - Continuing Ops'!W55)^0.2-1)*100</f>
        <v>-12.098267645652994</v>
      </c>
      <c r="R36" s="143">
        <f>(('Income - Continuing Ops'!W60/'Income - Continuing Ops'!W50)^0.1-1)*100</f>
        <v>-0.74522672684510516</v>
      </c>
      <c r="S36" s="142">
        <f>('Cash Flow (2)'!O17/'Cash Flow (2)'!O16-1)*100</f>
        <v>12.641594925237909</v>
      </c>
      <c r="T36" s="147">
        <f>(('Cash Flow (2)'!O17/'Cash Flow (2)'!O12)^0.2-1)*100</f>
        <v>2.4605037818949071</v>
      </c>
      <c r="U36" s="143">
        <f>(('Cash Flow (2)'!O17/'Cash Flow'!O56)^0.1-1)*100</f>
        <v>1.7770649414571515</v>
      </c>
      <c r="V36" s="147">
        <f>+('Income - Continuing Ops'!Y60/'Income - Continuing Ops'!Y59-1)*100</f>
        <v>4.5977011494252817</v>
      </c>
      <c r="W36" s="142">
        <f>(('Income - Continuing Ops'!Y60/'Income - Continuing Ops'!Y55)^0.2-1)*100</f>
        <v>3.9431863299439485</v>
      </c>
      <c r="X36" s="143">
        <f>(('Income - Continuing Ops'!Y60/'Income - Continuing Ops'!Y50)^0.1-1)*100</f>
        <v>4.4284755166889456</v>
      </c>
      <c r="Y36" s="147">
        <f>('Income - Continuing Ops'!Z60/'Income - Continuing Ops'!Z59-1)*100</f>
        <v>-18.802358051504797</v>
      </c>
      <c r="Z36" s="142">
        <f>(('Income - Continuing Ops'!Z60/'Income - Continuing Ops'!Z55)^0.2-1)*100</f>
        <v>-6.0953400535927793</v>
      </c>
      <c r="AA36" s="143">
        <f>(('Income - Continuing Ops'!Z60/'Income - Continuing Ops'!Z50)^0.1-1)*100</f>
        <v>-1.660421765193465</v>
      </c>
    </row>
    <row r="37" spans="1:27" ht="15.5" x14ac:dyDescent="0.35">
      <c r="A37" s="60">
        <v>2024</v>
      </c>
      <c r="B37" s="142">
        <f>'Income - Continuing Ops'!C61/'Income - Continuing Ops'!B61*100</f>
        <v>17.389816589104843</v>
      </c>
      <c r="C37" s="142">
        <f>'Income - Continuing Ops'!F61/'Income - Continuing Ops'!B61*100</f>
        <v>6.0794780545670219</v>
      </c>
      <c r="D37" s="345">
        <f>'Income - Continuing Ops'!N61/'Income - Continuing Ops'!B61*100</f>
        <v>3.2895337165799794</v>
      </c>
      <c r="E37" s="147">
        <v>-7.2</v>
      </c>
      <c r="F37" s="345" t="s">
        <v>196</v>
      </c>
      <c r="G37" s="142">
        <f>(('Income - Continuing Ops'!B61/'Income - Continuing Ops'!B60)-1)*100</f>
        <v>-7.2312869024188871</v>
      </c>
      <c r="H37" s="142">
        <f>(('Income - Continuing Ops'!B61/'Income - Continuing Ops'!B56)^0.2-1)*100</f>
        <v>-1.6030224300998652</v>
      </c>
      <c r="I37" s="345">
        <f>(('Income - Continuing Ops'!B61/'Income - Continuing Ops'!B51)^0.1-1)*100</f>
        <v>1.4863176004082712</v>
      </c>
      <c r="J37" s="142">
        <f>+('Income - Continuing Ops'!F61/'Income - Continuing Ops'!F60-1)*100</f>
        <v>-20.089955022488759</v>
      </c>
      <c r="K37" s="142">
        <f>(('Income - Continuing Ops'!F61/'Income - Continuing Ops'!F56)^0.2-1)*100</f>
        <v>-11.754295597376851</v>
      </c>
      <c r="L37" s="345">
        <f>(('Income - Continuing Ops'!F61/'Income - Continuing Ops'!F51)^0.1-1)*100</f>
        <v>-3.6093452664039516</v>
      </c>
      <c r="M37" s="142">
        <f>+('Income - Continuing Ops'!N61/'Income - Continuing Ops'!N60-1)*100</f>
        <v>-23.74405076679006</v>
      </c>
      <c r="N37" s="142">
        <f>(('Income - Continuing Ops'!N61/'Income - Continuing Ops'!N56)^0.2-1)*100</f>
        <v>-14.953343242398297</v>
      </c>
      <c r="O37" s="345">
        <f>(('Income - Continuing Ops'!N61/'Income - Continuing Ops'!N51)^0.1-1)*100</f>
        <v>-5.544885204085281</v>
      </c>
      <c r="P37" s="142">
        <f>('Income - Continuing Ops'!W61/'Income - Continuing Ops'!W60-1)*100</f>
        <v>-24.442092356704602</v>
      </c>
      <c r="Q37" s="142">
        <f>(('Income - Continuing Ops'!W61/'Income - Continuing Ops'!W56)^0.2-1)*100</f>
        <v>-15.190037477869801</v>
      </c>
      <c r="R37" s="345">
        <f>(('Income - Continuing Ops'!W61/'Income - Continuing Ops'!W51)^0.1-1)*100</f>
        <v>-5.1466381004834361</v>
      </c>
      <c r="S37" s="142">
        <f>('Cash Flow (2)'!O18/'Cash Flow (2)'!O17-1)*100</f>
        <v>-38.515687851971038</v>
      </c>
      <c r="T37" s="147">
        <f>(('Cash Flow (2)'!O18/'Cash Flow (2)'!O13)^0.2-1)*100</f>
        <v>-14.472890397530646</v>
      </c>
      <c r="U37" s="143">
        <f>(('Cash Flow (2)'!O18/'Cash Flow'!O57)^0.1-1)*100</f>
        <v>-2.200963089183261</v>
      </c>
      <c r="V37" s="147">
        <f>+('Income - Continuing Ops'!Y61/'Income - Continuing Ops'!Y60-1)*100</f>
        <v>-66.483516483516496</v>
      </c>
      <c r="W37" s="142">
        <f>(('Income - Continuing Ops'!Y61/'Income - Continuing Ops'!Y56)^0.2-1)*100</f>
        <v>-17.33254843271348</v>
      </c>
      <c r="X37" s="345">
        <f>(('Income - Continuing Ops'!Y61/'Income - Continuing Ops'!Y51)^0.1-1)*100</f>
        <v>-6.696700846319259</v>
      </c>
      <c r="Y37" s="147">
        <f>('Income - Continuing Ops'!Z61/'Income - Continuing Ops'!Z60-1)*100</f>
        <v>-63.316774933129551</v>
      </c>
      <c r="Z37" s="142">
        <f>(('Income - Continuing Ops'!Z61/'Income - Continuing Ops'!Z56)^0.2-1)*100</f>
        <v>-28.347685300985546</v>
      </c>
      <c r="AA37" s="345">
        <f>(('Income - Continuing Ops'!Z61/'Income - Continuing Ops'!Z51)^0.1-1)*100</f>
        <v>-13.845896051346074</v>
      </c>
    </row>
    <row r="38" spans="1:27" ht="15.5" x14ac:dyDescent="0.35">
      <c r="A38" s="60">
        <v>2025</v>
      </c>
      <c r="B38" s="142">
        <f>'Income - Continuing Ops'!C62/'Income - Continuing Ops'!B62*100</f>
        <v>18.438509531207618</v>
      </c>
      <c r="C38" s="142">
        <f>'Income - Continuing Ops'!F62/'Income - Continuing Ops'!B62*100</f>
        <v>6.4831940026139918</v>
      </c>
      <c r="D38" s="345">
        <f>'Income - Continuing Ops'!N62/'Income - Continuing Ops'!B62*100</f>
        <v>3.5979383985598377</v>
      </c>
      <c r="E38" s="506">
        <v>-5.5</v>
      </c>
      <c r="F38" s="143">
        <f t="shared" ref="F38" si="1">+G38-E38</f>
        <v>-1.9938406788940704</v>
      </c>
      <c r="G38" s="142">
        <f>(('Income - Continuing Ops'!B62/'Income - Continuing Ops'!B61)-1)*100</f>
        <v>-7.4938406788940704</v>
      </c>
      <c r="H38" s="142">
        <f>(('Income - Continuing Ops'!B62/'Income - Continuing Ops'!B57)^0.2-1)*100</f>
        <v>-1.0746714836784133</v>
      </c>
      <c r="I38" s="345">
        <f>(('Income - Continuing Ops'!B62/'Income - Continuing Ops'!B52)^0.1-1)*100</f>
        <v>0.34658156290994224</v>
      </c>
      <c r="J38" s="142">
        <f>+('Income - Continuing Ops'!F62/'Income - Continuing Ops'!F61-1)*100</f>
        <v>-1.3508442776735574</v>
      </c>
      <c r="K38" s="142">
        <f>(('Income - Continuing Ops'!F62/'Income - Continuing Ops'!F57)^0.2-1)*100</f>
        <v>-10.299261552283767</v>
      </c>
      <c r="L38" s="345">
        <f>(('Income - Continuing Ops'!F62/'Income - Continuing Ops'!F52)^0.1-1)*100</f>
        <v>-5.4244510716729426</v>
      </c>
      <c r="M38" s="142">
        <f>+('Income - Continuing Ops'!N62/'Income - Continuing Ops'!N61-1)*100</f>
        <v>1.1789181692094308</v>
      </c>
      <c r="N38" s="142">
        <f>(('Income - Continuing Ops'!N62/'Income - Continuing Ops'!N57)^0.2-1)*100</f>
        <v>-13.06379060697328</v>
      </c>
      <c r="O38" s="345">
        <f>(('Income - Continuing Ops'!N62/'Income - Continuing Ops'!N52)^0.1-1)*100</f>
        <v>-7.175331259301565</v>
      </c>
      <c r="P38" s="142">
        <f>('Income - Continuing Ops'!W62/'Income - Continuing Ops'!W61-1)*100</f>
        <v>0.39284746291092798</v>
      </c>
      <c r="Q38" s="142">
        <f>(('Income - Continuing Ops'!W62/'Income - Continuing Ops'!W57)^0.2-1)*100</f>
        <v>-13.377037565701089</v>
      </c>
      <c r="R38" s="345">
        <f>(('Income - Continuing Ops'!W62/'Income - Continuing Ops'!W52)^0.1-1)*100</f>
        <v>-6.8544783691953048</v>
      </c>
      <c r="S38" s="142">
        <f>('Cash Flow (2)'!O19/'Cash Flow (2)'!O18-1)*100</f>
        <v>10.631337912986583</v>
      </c>
      <c r="T38" s="147">
        <f>(('Cash Flow (2)'!O19/'Cash Flow (2)'!O14)^0.2-1)*100</f>
        <v>-10.910013077591874</v>
      </c>
      <c r="U38" s="143">
        <f>(('Cash Flow (2)'!O19/'Cash Flow'!O58)^0.1-1)*100</f>
        <v>-0.59784042716936048</v>
      </c>
      <c r="V38" s="147">
        <f>+('Income - Continuing Ops'!Y62/'Income - Continuing Ops'!Y61-1)*100</f>
        <v>-67.213114754098356</v>
      </c>
      <c r="W38" s="142">
        <f>(('Income - Continuing Ops'!Y62/'Income - Continuing Ops'!Y57)^0.2-1)*100</f>
        <v>-34.024604461355288</v>
      </c>
      <c r="X38" s="345">
        <f>(('Income - Continuing Ops'!Y62/'Income - Continuing Ops'!Y52)^0.1-1)*100</f>
        <v>-16.810992088696008</v>
      </c>
      <c r="Y38" s="147">
        <f>('Income - Continuing Ops'!Z62/'Income - Continuing Ops'!Z61-1)*100</f>
        <v>14.583333333333348</v>
      </c>
      <c r="Z38" s="142">
        <f>(('Income - Continuing Ops'!Z62/'Income - Continuing Ops'!Z57)^0.2-1)*100</f>
        <v>-24.317095316046689</v>
      </c>
      <c r="AA38" s="345">
        <f>(('Income - Continuing Ops'!Z62/'Income - Continuing Ops'!Z52)^0.1-1)*100</f>
        <v>-12.54318368358418</v>
      </c>
    </row>
    <row r="39" spans="1:27" ht="6.75" customHeight="1" x14ac:dyDescent="0.25">
      <c r="A39" s="171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2"/>
      <c r="W39" s="171"/>
      <c r="X39" s="171"/>
      <c r="Y39" s="171"/>
      <c r="Z39" s="171"/>
      <c r="AA39" s="171"/>
    </row>
    <row r="40" spans="1:27" ht="15" customHeight="1" x14ac:dyDescent="0.25">
      <c r="A40" s="171"/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2"/>
      <c r="W40" s="171"/>
      <c r="X40" s="171"/>
      <c r="Y40" s="171"/>
      <c r="Z40" s="171"/>
      <c r="AA40" s="171"/>
    </row>
    <row r="41" spans="1:27" ht="15" customHeight="1" x14ac:dyDescent="0.4">
      <c r="A41" s="358" t="s">
        <v>199</v>
      </c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60"/>
    </row>
    <row r="42" spans="1:27" ht="15" customHeight="1" x14ac:dyDescent="0.4">
      <c r="A42" s="358" t="s">
        <v>207</v>
      </c>
      <c r="B42" s="357"/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60"/>
    </row>
    <row r="43" spans="1:27" ht="15" customHeight="1" x14ac:dyDescent="0.4">
      <c r="A43" s="358" t="s">
        <v>210</v>
      </c>
      <c r="B43" s="357"/>
      <c r="C43" s="357"/>
      <c r="D43" s="357"/>
      <c r="E43" s="357"/>
      <c r="F43" s="357"/>
      <c r="G43" s="357"/>
      <c r="H43" s="357"/>
      <c r="I43" s="357"/>
      <c r="J43" s="357"/>
      <c r="K43" s="357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  <c r="Z43" s="357"/>
      <c r="AA43" s="360"/>
    </row>
    <row r="44" spans="1:27" ht="15" customHeight="1" x14ac:dyDescent="0.4">
      <c r="A44" s="358" t="s">
        <v>202</v>
      </c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60"/>
    </row>
    <row r="45" spans="1:27" ht="15" customHeight="1" x14ac:dyDescent="0.25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2"/>
      <c r="W45" s="171"/>
      <c r="X45" s="171"/>
      <c r="Y45" s="171"/>
      <c r="Z45" s="171"/>
      <c r="AA45" s="171"/>
    </row>
    <row r="46" spans="1:27" ht="15" x14ac:dyDescent="0.3">
      <c r="A46" s="408" t="s">
        <v>251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5"/>
      <c r="W46" s="174"/>
      <c r="X46" s="174"/>
      <c r="Y46" s="174"/>
      <c r="Z46" s="174"/>
      <c r="AA46" s="174"/>
    </row>
    <row r="47" spans="1:27" ht="18" customHeight="1" x14ac:dyDescent="0.25">
      <c r="A47" s="548" t="s">
        <v>254</v>
      </c>
      <c r="B47" s="548"/>
      <c r="C47" s="548"/>
      <c r="D47" s="548"/>
      <c r="E47" s="548"/>
      <c r="F47" s="548"/>
      <c r="G47" s="548"/>
      <c r="H47" s="548"/>
      <c r="I47" s="548"/>
      <c r="J47" s="548"/>
      <c r="K47" s="548"/>
      <c r="L47" s="548"/>
      <c r="M47" s="548"/>
      <c r="N47" s="548"/>
      <c r="O47" s="548"/>
      <c r="P47" s="548"/>
      <c r="Q47" s="548"/>
      <c r="R47" s="548"/>
      <c r="S47" s="548"/>
      <c r="T47" s="548"/>
      <c r="U47" s="548"/>
      <c r="V47" s="548"/>
      <c r="W47" s="548"/>
      <c r="X47" s="548"/>
      <c r="Y47" s="548"/>
      <c r="Z47" s="548"/>
      <c r="AA47" s="548"/>
    </row>
    <row r="48" spans="1:27" ht="14.5" x14ac:dyDescent="0.25">
      <c r="A48" s="173"/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6"/>
      <c r="W48" s="174"/>
      <c r="X48" s="174"/>
      <c r="Y48" s="174"/>
      <c r="Z48" s="174"/>
      <c r="AA48" s="174"/>
    </row>
    <row r="49" spans="1:22" ht="13" x14ac:dyDescent="0.3">
      <c r="A49" s="251"/>
    </row>
    <row r="50" spans="1:22" ht="13" x14ac:dyDescent="0.3">
      <c r="A50" s="6"/>
      <c r="V50"/>
    </row>
  </sheetData>
  <mergeCells count="24">
    <mergeCell ref="F4:F6"/>
    <mergeCell ref="G4:AA4"/>
    <mergeCell ref="G5:H5"/>
    <mergeCell ref="J5:K5"/>
    <mergeCell ref="M5:N5"/>
    <mergeCell ref="P5:Q5"/>
    <mergeCell ref="S5:T5"/>
    <mergeCell ref="V5:W5"/>
    <mergeCell ref="Y5:Z5"/>
    <mergeCell ref="P10:R10"/>
    <mergeCell ref="S10:U10"/>
    <mergeCell ref="V10:X10"/>
    <mergeCell ref="Y10:AA10"/>
    <mergeCell ref="A47:AA47"/>
    <mergeCell ref="A9:A11"/>
    <mergeCell ref="B9:D9"/>
    <mergeCell ref="E9:F9"/>
    <mergeCell ref="G9:AA9"/>
    <mergeCell ref="B10:B11"/>
    <mergeCell ref="D10:D11"/>
    <mergeCell ref="E10:F10"/>
    <mergeCell ref="G10:I10"/>
    <mergeCell ref="J10:L10"/>
    <mergeCell ref="M10:O10"/>
  </mergeCells>
  <printOptions horizontalCentered="1"/>
  <pageMargins left="0.55000000000000004" right="0.3" top="0.4" bottom="0.25" header="0.5" footer="0.5"/>
  <pageSetup scale="54" fitToHeight="2" orientation="landscape" r:id="rId1"/>
  <headerFooter alignWithMargins="0"/>
  <rowBreaks count="1" manualBreakCount="1">
    <brk id="13" max="2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AD71"/>
  <sheetViews>
    <sheetView zoomScaleNormal="100" zoomScaleSheetLayoutView="100" workbookViewId="0">
      <pane xSplit="1" ySplit="9" topLeftCell="B30" activePane="bottomRight" state="frozen"/>
      <selection activeCell="D44" sqref="D44"/>
      <selection pane="topRight" activeCell="D44" sqref="D44"/>
      <selection pane="bottomLeft" activeCell="D44" sqref="D44"/>
      <selection pane="bottomRight" activeCell="D44" sqref="D44"/>
    </sheetView>
  </sheetViews>
  <sheetFormatPr defaultRowHeight="12.5" x14ac:dyDescent="0.25"/>
  <cols>
    <col min="1" max="1" width="7.7265625" customWidth="1"/>
    <col min="3" max="3" width="10.453125" customWidth="1"/>
    <col min="4" max="4" width="8.1796875" customWidth="1"/>
    <col min="5" max="5" width="10.1796875" customWidth="1"/>
    <col min="6" max="6" width="12.54296875" customWidth="1"/>
    <col min="7" max="7" width="10" customWidth="1"/>
    <col min="8" max="8" width="11.453125" customWidth="1"/>
    <col min="9" max="10" width="9.7265625" customWidth="1"/>
    <col min="11" max="11" width="11.7265625" hidden="1" customWidth="1"/>
    <col min="12" max="12" width="11" hidden="1" customWidth="1"/>
    <col min="13" max="13" width="10.81640625" customWidth="1"/>
    <col min="15" max="16" width="9.7265625" customWidth="1"/>
    <col min="17" max="17" width="8.81640625" customWidth="1"/>
    <col min="18" max="18" width="9.7265625" bestFit="1" customWidth="1"/>
    <col min="22" max="22" width="9" customWidth="1"/>
  </cols>
  <sheetData>
    <row r="1" spans="1:23" s="220" customFormat="1" ht="30" x14ac:dyDescent="0.6">
      <c r="A1" s="420" t="s">
        <v>366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</row>
    <row r="2" spans="1:23" s="220" customFormat="1" ht="24" customHeight="1" x14ac:dyDescent="0.5">
      <c r="A2" s="426" t="s">
        <v>352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</row>
    <row r="3" spans="1:23" ht="6" customHeight="1" x14ac:dyDescent="0.25"/>
    <row r="4" spans="1:23" ht="13" x14ac:dyDescent="0.3">
      <c r="A4" s="518" t="s">
        <v>9</v>
      </c>
      <c r="B4" s="520" t="s">
        <v>48</v>
      </c>
      <c r="C4" s="525"/>
      <c r="D4" s="527" t="s">
        <v>20</v>
      </c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  <c r="Q4" s="527" t="s">
        <v>21</v>
      </c>
      <c r="R4" s="528"/>
      <c r="S4" s="528"/>
      <c r="T4" s="528"/>
      <c r="U4" s="528"/>
      <c r="V4" s="530"/>
      <c r="W4" s="233" t="s">
        <v>0</v>
      </c>
    </row>
    <row r="5" spans="1:23" ht="12.75" customHeight="1" x14ac:dyDescent="0.3">
      <c r="A5" s="518"/>
      <c r="B5" s="522" t="s">
        <v>22</v>
      </c>
      <c r="C5" s="514" t="s">
        <v>23</v>
      </c>
      <c r="D5" s="582" t="s">
        <v>24</v>
      </c>
      <c r="E5" s="583"/>
      <c r="F5" s="583"/>
      <c r="G5" s="583"/>
      <c r="H5" s="584"/>
      <c r="I5" s="586" t="s">
        <v>169</v>
      </c>
      <c r="J5" s="587"/>
      <c r="K5" s="517" t="s">
        <v>49</v>
      </c>
      <c r="L5" s="517" t="s">
        <v>127</v>
      </c>
      <c r="M5" s="78"/>
      <c r="N5" s="517" t="s">
        <v>50</v>
      </c>
      <c r="O5" s="517" t="s">
        <v>51</v>
      </c>
      <c r="P5" s="590" t="s">
        <v>179</v>
      </c>
      <c r="Q5" s="522" t="s">
        <v>103</v>
      </c>
      <c r="R5" s="517" t="s">
        <v>117</v>
      </c>
      <c r="S5" s="517" t="s">
        <v>134</v>
      </c>
      <c r="T5" s="517" t="s">
        <v>216</v>
      </c>
      <c r="U5" s="517" t="s">
        <v>229</v>
      </c>
      <c r="V5" s="514" t="s">
        <v>25</v>
      </c>
      <c r="W5" s="577" t="s">
        <v>52</v>
      </c>
    </row>
    <row r="6" spans="1:23" ht="12.75" customHeight="1" x14ac:dyDescent="0.3">
      <c r="A6" s="518"/>
      <c r="B6" s="523"/>
      <c r="C6" s="515"/>
      <c r="D6" s="523" t="s">
        <v>53</v>
      </c>
      <c r="E6" s="518" t="s">
        <v>26</v>
      </c>
      <c r="F6" s="518" t="s">
        <v>58</v>
      </c>
      <c r="G6" s="592" t="s">
        <v>27</v>
      </c>
      <c r="H6" s="514" t="s">
        <v>54</v>
      </c>
      <c r="I6" s="588"/>
      <c r="J6" s="589"/>
      <c r="K6" s="518"/>
      <c r="L6" s="518"/>
      <c r="M6" s="8" t="s">
        <v>219</v>
      </c>
      <c r="N6" s="518"/>
      <c r="O6" s="518"/>
      <c r="P6" s="594"/>
      <c r="Q6" s="523"/>
      <c r="R6" s="518"/>
      <c r="S6" s="518"/>
      <c r="T6" s="518" t="s">
        <v>214</v>
      </c>
      <c r="U6" s="518" t="s">
        <v>214</v>
      </c>
      <c r="V6" s="515"/>
      <c r="W6" s="578"/>
    </row>
    <row r="7" spans="1:23" ht="12.75" customHeight="1" x14ac:dyDescent="0.3">
      <c r="A7" s="518"/>
      <c r="B7" s="523"/>
      <c r="C7" s="515"/>
      <c r="D7" s="523"/>
      <c r="E7" s="518"/>
      <c r="F7" s="518"/>
      <c r="G7" s="592"/>
      <c r="H7" s="515"/>
      <c r="I7" s="590" t="s">
        <v>36</v>
      </c>
      <c r="J7" s="590" t="s">
        <v>171</v>
      </c>
      <c r="K7" s="518"/>
      <c r="L7" s="518"/>
      <c r="M7" s="8" t="s">
        <v>220</v>
      </c>
      <c r="N7" s="518"/>
      <c r="O7" s="518"/>
      <c r="P7" s="594"/>
      <c r="Q7" s="523"/>
      <c r="R7" s="518"/>
      <c r="S7" s="518"/>
      <c r="T7" s="518" t="s">
        <v>215</v>
      </c>
      <c r="U7" s="518" t="s">
        <v>215</v>
      </c>
      <c r="V7" s="515"/>
      <c r="W7" s="578"/>
    </row>
    <row r="8" spans="1:23" ht="13" x14ac:dyDescent="0.3">
      <c r="A8" s="585"/>
      <c r="B8" s="580"/>
      <c r="C8" s="581"/>
      <c r="D8" s="580"/>
      <c r="E8" s="29" t="s">
        <v>28</v>
      </c>
      <c r="F8" s="585"/>
      <c r="G8" s="593"/>
      <c r="H8" s="581"/>
      <c r="I8" s="591"/>
      <c r="J8" s="591"/>
      <c r="K8" s="585"/>
      <c r="L8" s="585"/>
      <c r="M8" s="29" t="s">
        <v>221</v>
      </c>
      <c r="N8" s="30" t="s">
        <v>29</v>
      </c>
      <c r="O8" s="585"/>
      <c r="P8" s="591"/>
      <c r="Q8" s="580"/>
      <c r="R8" s="585"/>
      <c r="S8" s="585"/>
      <c r="T8" s="585" t="s">
        <v>188</v>
      </c>
      <c r="U8" s="585" t="s">
        <v>188</v>
      </c>
      <c r="V8" s="581"/>
      <c r="W8" s="579"/>
    </row>
    <row r="9" spans="1:23" ht="12.75" hidden="1" customHeight="1" x14ac:dyDescent="0.3">
      <c r="A9" s="8"/>
      <c r="B9" s="31"/>
      <c r="C9" s="23"/>
      <c r="D9" s="31"/>
      <c r="E9" s="22"/>
      <c r="F9" s="32"/>
      <c r="G9" s="32"/>
      <c r="H9" s="33"/>
      <c r="I9" s="22"/>
      <c r="J9" s="22"/>
      <c r="K9" s="22"/>
      <c r="L9" s="22"/>
      <c r="M9" s="22"/>
      <c r="O9" s="22"/>
      <c r="P9" s="22"/>
      <c r="Q9" s="31"/>
      <c r="R9" s="22"/>
      <c r="S9" s="22"/>
      <c r="T9" s="22"/>
      <c r="U9" s="22"/>
      <c r="V9" s="23"/>
      <c r="W9" s="234"/>
    </row>
    <row r="10" spans="1:23" ht="15.5" x14ac:dyDescent="0.35">
      <c r="A10" s="140">
        <v>1967</v>
      </c>
      <c r="B10" s="177">
        <v>6.3768833379750758</v>
      </c>
      <c r="C10" s="178">
        <v>4.5</v>
      </c>
      <c r="D10" s="179">
        <v>3.0830395319180855E-2</v>
      </c>
      <c r="E10" s="180">
        <v>2.0651833266538775</v>
      </c>
      <c r="F10" s="181">
        <v>6.3670418367320056E-2</v>
      </c>
      <c r="G10" s="180">
        <v>1.5587486047279575</v>
      </c>
      <c r="H10" s="182">
        <v>9.9246175792505456E-2</v>
      </c>
      <c r="I10" s="181"/>
      <c r="J10" s="236"/>
      <c r="K10" s="181">
        <f>+('Income - Historical'!M10+'Income - Historical'!J10*(1-'Ratios - Historical'!W10))/'Balance Sheet - Historical'!X9</f>
        <v>8.7255345119918684E-2</v>
      </c>
      <c r="L10" s="181"/>
      <c r="M10" s="181"/>
      <c r="N10" s="183">
        <v>5.729166666666667</v>
      </c>
      <c r="O10" s="184">
        <v>7.1999999999999995E-2</v>
      </c>
      <c r="P10" s="389">
        <v>0.41249999999999998</v>
      </c>
      <c r="Q10" s="186">
        <f>+('Balance Sheet - Historical'!L9+'Balance Sheet - Historical'!M9+'Balance Sheet - Historical'!O9)/'Balance Sheet - Historical'!G9</f>
        <v>0.35165660419370237</v>
      </c>
      <c r="R10" s="187">
        <f>(+'Balance Sheet - Historical'!M9+'Balance Sheet - Historical'!I9)/('Balance Sheet - Historical'!R9+'Balance Sheet - Historical'!I9)</f>
        <v>0.27133481300403106</v>
      </c>
      <c r="S10" s="187">
        <f>+('Balance Sheet - Historical'!M9+'Balance Sheet - Historical'!I9-'Balance Sheet - Historical'!B9)/('Balance Sheet - Historical'!R9+'Balance Sheet - Historical'!I9-'Balance Sheet - Historical'!B9)</f>
        <v>0.22472537560697431</v>
      </c>
      <c r="T10" s="187"/>
      <c r="U10" s="187"/>
      <c r="V10" s="188">
        <v>8.34375</v>
      </c>
      <c r="W10" s="235">
        <v>0.41702127659574467</v>
      </c>
    </row>
    <row r="11" spans="1:23" ht="15.5" x14ac:dyDescent="0.35">
      <c r="A11" s="150">
        <v>1968</v>
      </c>
      <c r="B11" s="177">
        <v>2.1898441476293304</v>
      </c>
      <c r="C11" s="188">
        <v>3.9649697779336663</v>
      </c>
      <c r="D11" s="189">
        <v>3.3648851437146479E-2</v>
      </c>
      <c r="E11" s="180">
        <v>1.9745057866489857</v>
      </c>
      <c r="F11" s="181">
        <v>6.643985187673776E-2</v>
      </c>
      <c r="G11" s="180">
        <v>1.8174498176150995</v>
      </c>
      <c r="H11" s="190">
        <v>0.12075109667575126</v>
      </c>
      <c r="I11" s="288">
        <f>(('Income - Historical'!Y11-'Income - Historical'!Y10)+'Income - Historical'!X11)/'Income - Historical'!Y10</f>
        <v>2.7657894736842108</v>
      </c>
      <c r="J11" s="236"/>
      <c r="K11" s="181">
        <f>+('Income - Historical'!M11+'Income - Historical'!J11*(1-'Ratios - Historical'!W11))/'Balance Sheet - Historical'!X10</f>
        <v>0.10050186893926041</v>
      </c>
      <c r="L11" s="181">
        <f>+'Income - Historical'!I11/AVERAGE('Balance Sheet - Historical'!S9:S10)</f>
        <v>0.2009002081630504</v>
      </c>
      <c r="M11" s="181">
        <f>('Income - Historical'!I11*(1-'Ratios - Historical'!W11))/(('Balance Sheet - Historical'!Q10+'Balance Sheet - Historical'!P10+'Balance Sheet - Historical'!Q9+'Balance Sheet - Historical'!P9)/2)</f>
        <v>0.10522291548545128</v>
      </c>
      <c r="N11" s="180">
        <v>15.625</v>
      </c>
      <c r="O11" s="181">
        <v>2.2400000000000003E-2</v>
      </c>
      <c r="P11" s="390">
        <v>0.35</v>
      </c>
      <c r="Q11" s="186">
        <f>+('Balance Sheet - Historical'!L10+'Balance Sheet - Historical'!M10+'Balance Sheet - Historical'!O10)/'Balance Sheet - Historical'!G10</f>
        <v>0.51414912648051792</v>
      </c>
      <c r="R11" s="187">
        <f>(+'Balance Sheet - Historical'!M10+'Balance Sheet - Historical'!I10)/('Balance Sheet - Historical'!R10+'Balance Sheet - Historical'!I10)</f>
        <v>0.29627769183709901</v>
      </c>
      <c r="S11" s="187">
        <f>+('Balance Sheet - Historical'!M10+'Balance Sheet - Historical'!I10-'Balance Sheet - Historical'!B10)/('Balance Sheet - Historical'!R10+'Balance Sheet - Historical'!I10-'Balance Sheet - Historical'!B10)</f>
        <v>0.26125992678118837</v>
      </c>
      <c r="T11" s="187"/>
      <c r="U11" s="187"/>
      <c r="V11" s="188">
        <v>7.3016759776536313</v>
      </c>
      <c r="W11" s="236">
        <v>0.48315602836879429</v>
      </c>
    </row>
    <row r="12" spans="1:23" ht="15.5" x14ac:dyDescent="0.35">
      <c r="A12" s="150">
        <v>1969</v>
      </c>
      <c r="B12" s="177">
        <v>2.0874459091082387</v>
      </c>
      <c r="C12" s="188">
        <v>4.265579309943976</v>
      </c>
      <c r="D12" s="189">
        <v>2.9597552739263438E-2</v>
      </c>
      <c r="E12" s="180">
        <v>1.9494880376901536</v>
      </c>
      <c r="F12" s="181">
        <v>5.770007501009751E-2</v>
      </c>
      <c r="G12" s="180">
        <v>1.902114068992248</v>
      </c>
      <c r="H12" s="190">
        <v>0.1097521244586145</v>
      </c>
      <c r="I12" s="288">
        <f>(('Income - Historical'!Y12-'Income - Historical'!Y11)+'Income - Historical'!X12)/'Income - Historical'!Y11</f>
        <v>0.41642857142857131</v>
      </c>
      <c r="J12" s="386"/>
      <c r="K12" s="181">
        <f>+('Income - Historical'!M12+'Income - Historical'!J12*(1-'Ratios - Historical'!W12))/'Balance Sheet - Historical'!X11</f>
        <v>0.1021602043324919</v>
      </c>
      <c r="L12" s="181">
        <f>+'Income - Historical'!I12/AVERAGE('Balance Sheet - Historical'!S10:S11)</f>
        <v>0.17527710829828946</v>
      </c>
      <c r="M12" s="181">
        <f>('Income - Historical'!I12*(1-'Ratios - Historical'!W12))/(('Balance Sheet - Historical'!Q11+'Balance Sheet - Historical'!P11+'Balance Sheet - Historical'!Q10+'Balance Sheet - Historical'!P10)/2)</f>
        <v>9.6858172381327559E-2</v>
      </c>
      <c r="N12" s="180">
        <v>22.71505376344086</v>
      </c>
      <c r="O12" s="181">
        <v>1.6757396449704143E-2</v>
      </c>
      <c r="P12" s="390">
        <v>0.38064516129032255</v>
      </c>
      <c r="Q12" s="186">
        <f>+('Balance Sheet - Historical'!L11+'Balance Sheet - Historical'!M11+'Balance Sheet - Historical'!O11)/'Balance Sheet - Historical'!G11</f>
        <v>0.44651174368417229</v>
      </c>
      <c r="R12" s="187">
        <f>(+'Balance Sheet - Historical'!M11+'Balance Sheet - Historical'!I11)/('Balance Sheet - Historical'!R11+'Balance Sheet - Historical'!I11)</f>
        <v>0.34892179922467759</v>
      </c>
      <c r="S12" s="187">
        <f>+('Balance Sheet - Historical'!M11+'Balance Sheet - Historical'!I11-'Balance Sheet - Historical'!B11)/('Balance Sheet - Historical'!R11+'Balance Sheet - Historical'!I11-'Balance Sheet - Historical'!B11)</f>
        <v>0.3091515831342494</v>
      </c>
      <c r="T12" s="187"/>
      <c r="U12" s="187"/>
      <c r="V12" s="188">
        <v>4.9424899135446694</v>
      </c>
      <c r="W12" s="236">
        <v>0.45540935672514626</v>
      </c>
    </row>
    <row r="13" spans="1:23" ht="15.5" x14ac:dyDescent="0.35">
      <c r="A13" s="152">
        <v>1970</v>
      </c>
      <c r="B13" s="191">
        <v>2.7571955106149537</v>
      </c>
      <c r="C13" s="192">
        <v>3.8169376247310693</v>
      </c>
      <c r="D13" s="193">
        <v>3.1747611464968156E-2</v>
      </c>
      <c r="E13" s="194">
        <v>1.6541022245490959</v>
      </c>
      <c r="F13" s="195">
        <v>5.2513794748324211E-2</v>
      </c>
      <c r="G13" s="194">
        <v>2.0657479963740162</v>
      </c>
      <c r="H13" s="196">
        <v>0.10848026628334707</v>
      </c>
      <c r="I13" s="289">
        <f>(('Income - Historical'!Y13-'Income - Historical'!Y12)+'Income - Historical'!X13)/'Income - Historical'!Y12</f>
        <v>-0.36743589743589744</v>
      </c>
      <c r="J13" s="387">
        <f>(('Income - Historical'!Y13+SUM('Income - Historical'!X11:X13))/'Income - Historical'!Y10)^(1/3)-1</f>
        <v>0.50582530117510571</v>
      </c>
      <c r="K13" s="195">
        <f>+('Income - Historical'!M13+'Income - Historical'!J13*(1-'Ratios - Historical'!W13))/'Balance Sheet - Historical'!X12</f>
        <v>9.2526561667087712E-2</v>
      </c>
      <c r="L13" s="195">
        <f>+'Income - Historical'!I13/AVERAGE('Balance Sheet - Historical'!S11:S12)</f>
        <v>0.15026345059366383</v>
      </c>
      <c r="M13" s="195">
        <f>('Income - Historical'!I13*(1-'Ratios - Historical'!W13))/(('Balance Sheet - Historical'!Q12+'Balance Sheet - Historical'!P12+'Balance Sheet - Historical'!Q11+'Balance Sheet - Historical'!P11)/2)</f>
        <v>8.732480313436175E-2</v>
      </c>
      <c r="N13" s="194">
        <v>13.010204081632653</v>
      </c>
      <c r="O13" s="195">
        <v>2.8235294117647056E-2</v>
      </c>
      <c r="P13" s="391">
        <v>0.36734693877551022</v>
      </c>
      <c r="Q13" s="198">
        <f>+('Balance Sheet - Historical'!L12+'Balance Sheet - Historical'!M12+'Balance Sheet - Historical'!O12)/'Balance Sheet - Historical'!G12</f>
        <v>0.56570671265700212</v>
      </c>
      <c r="R13" s="197">
        <f>(+'Balance Sheet - Historical'!M12+'Balance Sheet - Historical'!I12)/('Balance Sheet - Historical'!R12+'Balance Sheet - Historical'!I12)</f>
        <v>0.47831330891964557</v>
      </c>
      <c r="S13" s="197">
        <f>+('Balance Sheet - Historical'!M12+'Balance Sheet - Historical'!I12-'Balance Sheet - Historical'!B12)/('Balance Sheet - Historical'!R12+'Balance Sheet - Historical'!I12-'Balance Sheet - Historical'!B12)</f>
        <v>0.45387555982440969</v>
      </c>
      <c r="T13" s="197"/>
      <c r="U13" s="197"/>
      <c r="V13" s="192">
        <v>3.9031141868512109</v>
      </c>
      <c r="W13" s="237">
        <v>0.42967818831942789</v>
      </c>
    </row>
    <row r="14" spans="1:23" ht="15.5" x14ac:dyDescent="0.35">
      <c r="A14" s="150">
        <v>1971</v>
      </c>
      <c r="B14" s="177">
        <v>3.6274961731795448</v>
      </c>
      <c r="C14" s="188">
        <v>3.9840962814420817</v>
      </c>
      <c r="D14" s="189">
        <v>3.2476648129150694E-2</v>
      </c>
      <c r="E14" s="180">
        <v>1.6671662494475337</v>
      </c>
      <c r="F14" s="181">
        <v>5.4143971656103421E-2</v>
      </c>
      <c r="G14" s="180">
        <v>2.2739008620513199</v>
      </c>
      <c r="H14" s="190">
        <v>0.1231180238236958</v>
      </c>
      <c r="I14" s="288">
        <f>(('Income - Historical'!Y14-'Income - Historical'!Y13)+'Income - Historical'!X14)/'Income - Historical'!Y13</f>
        <v>0.36125000000000007</v>
      </c>
      <c r="J14" s="386">
        <f>(('Income - Historical'!Y14+SUM('Income - Historical'!X12:X14))/'Income - Historical'!Y11)^(1/3)-1</f>
        <v>6.6858844342181811E-2</v>
      </c>
      <c r="K14" s="181">
        <f>+('Income - Historical'!M14+'Income - Historical'!J14*(1-'Ratios - Historical'!W14))/'Balance Sheet - Historical'!X13</f>
        <v>8.5185195979435552E-2</v>
      </c>
      <c r="L14" s="181">
        <f>+'Income - Historical'!I14/AVERAGE('Balance Sheet - Historical'!S12:S13)</f>
        <v>0.1649703788280546</v>
      </c>
      <c r="M14" s="181">
        <f>('Income - Historical'!I14*(1-'Ratios - Historical'!W14))/(('Balance Sheet - Historical'!Q13+'Balance Sheet - Historical'!P13+'Balance Sheet - Historical'!Q12+'Balance Sheet - Historical'!P12)/2)</f>
        <v>8.7059157806339132E-2</v>
      </c>
      <c r="N14" s="180">
        <v>14.978448275862069</v>
      </c>
      <c r="O14" s="181">
        <v>2.0719424460431655E-2</v>
      </c>
      <c r="P14" s="390">
        <v>0.31034482758620691</v>
      </c>
      <c r="Q14" s="186">
        <f>+('Balance Sheet - Historical'!L13+'Balance Sheet - Historical'!M13+'Balance Sheet - Historical'!O13)/'Balance Sheet - Historical'!G13</f>
        <v>0.55521797544112195</v>
      </c>
      <c r="R14" s="187">
        <f>(+'Balance Sheet - Historical'!M13+'Balance Sheet - Historical'!I13)/('Balance Sheet - Historical'!R13+'Balance Sheet - Historical'!I13)</f>
        <v>0.44763559633322059</v>
      </c>
      <c r="S14" s="187">
        <f>+('Balance Sheet - Historical'!M13+'Balance Sheet - Historical'!I13-'Balance Sheet - Historical'!B13)/('Balance Sheet - Historical'!R13+'Balance Sheet - Historical'!I13-'Balance Sheet - Historical'!B13)</f>
        <v>0.42528952227387107</v>
      </c>
      <c r="T14" s="187"/>
      <c r="U14" s="187"/>
      <c r="V14" s="188">
        <v>4.4659763313609471</v>
      </c>
      <c r="W14" s="236">
        <v>0.48655569782330343</v>
      </c>
    </row>
    <row r="15" spans="1:23" ht="15.5" x14ac:dyDescent="0.35">
      <c r="A15" s="150">
        <v>1972</v>
      </c>
      <c r="B15" s="177">
        <v>3.3583168108266199</v>
      </c>
      <c r="C15" s="188">
        <v>4.8264391891761829</v>
      </c>
      <c r="D15" s="189">
        <v>4.2090506556340078E-2</v>
      </c>
      <c r="E15" s="180">
        <v>1.8800622011860049</v>
      </c>
      <c r="F15" s="181">
        <v>7.9132770405346692E-2</v>
      </c>
      <c r="G15" s="180">
        <v>2.0032460715319824</v>
      </c>
      <c r="H15" s="190">
        <v>0.15852241144395307</v>
      </c>
      <c r="I15" s="288">
        <f>(('Income - Historical'!Y15-'Income - Historical'!Y14)+'Income - Historical'!X15)/'Income - Historical'!Y14</f>
        <v>1.0215625000000002</v>
      </c>
      <c r="J15" s="386">
        <f>(('Income - Historical'!Y15+SUM('Income - Historical'!X13:X15))/'Income - Historical'!Y12)^(1/3)-1</f>
        <v>0.19186087475957314</v>
      </c>
      <c r="K15" s="181">
        <f>+('Income - Historical'!M15+'Income - Historical'!J15*(1-'Ratios - Historical'!W15))/'Balance Sheet - Historical'!X14</f>
        <v>0.10784834137659552</v>
      </c>
      <c r="L15" s="181">
        <f>+'Income - Historical'!I15/AVERAGE('Balance Sheet - Historical'!S13:S14)</f>
        <v>0.21007615395972684</v>
      </c>
      <c r="M15" s="181">
        <f>('Income - Historical'!I15*(1-'Ratios - Historical'!W15))/(('Balance Sheet - Historical'!Q14+'Balance Sheet - Historical'!P14+'Balance Sheet - Historical'!Q13+'Balance Sheet - Historical'!P13)/2)</f>
        <v>0.11332869679701918</v>
      </c>
      <c r="N15" s="180">
        <v>32.359813084112147</v>
      </c>
      <c r="O15" s="181">
        <v>7.2202166064981952E-3</v>
      </c>
      <c r="P15" s="390">
        <v>0.23364485981308411</v>
      </c>
      <c r="Q15" s="186">
        <f>+('Balance Sheet - Historical'!L14+'Balance Sheet - Historical'!M14+'Balance Sheet - Historical'!O14)/'Balance Sheet - Historical'!G14</f>
        <v>0.46843103365050809</v>
      </c>
      <c r="R15" s="187">
        <f>(+'Balance Sheet - Historical'!M14+'Balance Sheet - Historical'!I14)/('Balance Sheet - Historical'!R14+'Balance Sheet - Historical'!I14)</f>
        <v>0.35682154326812332</v>
      </c>
      <c r="S15" s="187">
        <f>+('Balance Sheet - Historical'!M14+'Balance Sheet - Historical'!I14-'Balance Sheet - Historical'!B14)/('Balance Sheet - Historical'!R14+'Balance Sheet - Historical'!I14-'Balance Sheet - Historical'!B14)</f>
        <v>0.32947902572264876</v>
      </c>
      <c r="T15" s="187"/>
      <c r="U15" s="187"/>
      <c r="V15" s="188">
        <v>7.9094830633284232</v>
      </c>
      <c r="W15" s="236">
        <v>0.47527706734867858</v>
      </c>
    </row>
    <row r="16" spans="1:23" ht="15.5" x14ac:dyDescent="0.35">
      <c r="A16" s="150">
        <v>1973</v>
      </c>
      <c r="B16" s="177">
        <v>2.640708918999441</v>
      </c>
      <c r="C16" s="188">
        <v>4.3952275593906487</v>
      </c>
      <c r="D16" s="189">
        <v>4.4943000012166487E-2</v>
      </c>
      <c r="E16" s="180">
        <v>1.7782298395114737</v>
      </c>
      <c r="F16" s="181">
        <v>7.9918983698798976E-2</v>
      </c>
      <c r="G16" s="180">
        <v>2.0463723382373216</v>
      </c>
      <c r="H16" s="190">
        <v>0.16354399754126164</v>
      </c>
      <c r="I16" s="288">
        <f>(('Income - Historical'!Y16-'Income - Historical'!Y15)+'Income - Historical'!X16)/'Income - Historical'!Y15</f>
        <v>-0.56687500000000002</v>
      </c>
      <c r="J16" s="386">
        <f>(('Income - Historical'!Y16+SUM('Income - Historical'!X14:X16))/'Income - Historical'!Y13)^(1/3)-1</f>
        <v>6.6091269527671859E-2</v>
      </c>
      <c r="K16" s="181">
        <f>+('Income - Historical'!M16+'Income - Historical'!J16*(1-'Ratios - Historical'!W16))/'Balance Sheet - Historical'!X15</f>
        <v>0.11971250727865677</v>
      </c>
      <c r="L16" s="181">
        <f>+'Income - Historical'!I16/AVERAGE('Balance Sheet - Historical'!S14:S15)</f>
        <v>0.22099357038759057</v>
      </c>
      <c r="M16" s="181">
        <f>('Income - Historical'!I16*(1-'Ratios - Historical'!W16))/(('Balance Sheet - Historical'!Q15+'Balance Sheet - Historical'!P15+'Balance Sheet - Historical'!Q14+'Balance Sheet - Historical'!P14)/2)</f>
        <v>0.12039566431873837</v>
      </c>
      <c r="N16" s="180">
        <v>6.8576388888888893</v>
      </c>
      <c r="O16" s="181">
        <v>2.6329113924050632E-2</v>
      </c>
      <c r="P16" s="390">
        <v>0.18055555555555558</v>
      </c>
      <c r="Q16" s="186">
        <f>+('Balance Sheet - Historical'!L15+'Balance Sheet - Historical'!M15+'Balance Sheet - Historical'!O15)/'Balance Sheet - Historical'!G15</f>
        <v>0.54264871123724234</v>
      </c>
      <c r="R16" s="187">
        <f>(+'Balance Sheet - Historical'!M15+'Balance Sheet - Historical'!I15)/('Balance Sheet - Historical'!R15+'Balance Sheet - Historical'!I15)</f>
        <v>0.44180532996889932</v>
      </c>
      <c r="S16" s="187">
        <f>+('Balance Sheet - Historical'!M15+'Balance Sheet - Historical'!I15-'Balance Sheet - Historical'!B15)/('Balance Sheet - Historical'!R15+'Balance Sheet - Historical'!I15-'Balance Sheet - Historical'!B15)</f>
        <v>0.42072997889167779</v>
      </c>
      <c r="T16" s="187"/>
      <c r="U16" s="187"/>
      <c r="V16" s="188">
        <v>5.7666259437199727</v>
      </c>
      <c r="W16" s="236">
        <v>0.46810655147588187</v>
      </c>
    </row>
    <row r="17" spans="1:23" ht="15.5" x14ac:dyDescent="0.35">
      <c r="A17" s="150">
        <v>1974</v>
      </c>
      <c r="B17" s="177">
        <v>3.3734770630186564</v>
      </c>
      <c r="C17" s="188">
        <v>3.83134929582666</v>
      </c>
      <c r="D17" s="189">
        <v>3.4731198745523509E-2</v>
      </c>
      <c r="E17" s="180">
        <v>1.6246244189956331</v>
      </c>
      <c r="F17" s="181">
        <v>5.6425153582967992E-2</v>
      </c>
      <c r="G17" s="180">
        <v>2.2569905054324848</v>
      </c>
      <c r="H17" s="190">
        <v>0.1273510359043285</v>
      </c>
      <c r="I17" s="288">
        <f>(('Income - Historical'!Y17-'Income - Historical'!Y16)+'Income - Historical'!X17)/'Income - Historical'!Y16</f>
        <v>-0.4144444444444445</v>
      </c>
      <c r="J17" s="386">
        <f>(('Income - Historical'!Y17+SUM('Income - Historical'!X15:X17))/'Income - Historical'!Y14)^(1/3)-1</f>
        <v>-0.18661831411113516</v>
      </c>
      <c r="K17" s="181">
        <f>+('Income - Historical'!M17+'Income - Historical'!J17*(1-'Ratios - Historical'!W17))/'Balance Sheet - Historical'!X16</f>
        <v>9.8437561485223812E-2</v>
      </c>
      <c r="L17" s="181">
        <f>+'Income - Historical'!I17/AVERAGE('Balance Sheet - Historical'!S15:S16)</f>
        <v>0.19398422353101585</v>
      </c>
      <c r="M17" s="181">
        <f>('Income - Historical'!I17*(1-'Ratios - Historical'!W17))/(('Balance Sheet - Historical'!Q16+'Balance Sheet - Historical'!P16+'Balance Sheet - Historical'!Q15+'Balance Sheet - Historical'!P15)/2)</f>
        <v>9.8846558633991319E-2</v>
      </c>
      <c r="N17" s="180">
        <v>4.2</v>
      </c>
      <c r="O17" s="181">
        <v>5.5238095238095232E-2</v>
      </c>
      <c r="P17" s="390">
        <v>0.23199999999999998</v>
      </c>
      <c r="Q17" s="186">
        <f>+('Balance Sheet - Historical'!L16+'Balance Sheet - Historical'!M16+'Balance Sheet - Historical'!O16)/'Balance Sheet - Historical'!G16</f>
        <v>0.5690940826154024</v>
      </c>
      <c r="R17" s="187">
        <f>(+'Balance Sheet - Historical'!M16+'Balance Sheet - Historical'!I16)/('Balance Sheet - Historical'!R16+'Balance Sheet - Historical'!I16)</f>
        <v>0.49298668439007481</v>
      </c>
      <c r="S17" s="187">
        <f>+('Balance Sheet - Historical'!M16+'Balance Sheet - Historical'!I16-'Balance Sheet - Historical'!B16)/('Balance Sheet - Historical'!R16+'Balance Sheet - Historical'!I16-'Balance Sheet - Historical'!B16)</f>
        <v>0.45728177403924603</v>
      </c>
      <c r="T17" s="187"/>
      <c r="U17" s="187"/>
      <c r="V17" s="188">
        <v>3.4074479737130341</v>
      </c>
      <c r="W17" s="236">
        <v>0.50288140734000608</v>
      </c>
    </row>
    <row r="18" spans="1:23" ht="15.5" x14ac:dyDescent="0.35">
      <c r="A18" s="152">
        <v>1975</v>
      </c>
      <c r="B18" s="191">
        <v>2.6262497503923132</v>
      </c>
      <c r="C18" s="192">
        <v>3.9913554362861912</v>
      </c>
      <c r="D18" s="193">
        <v>3.2853582871382798E-2</v>
      </c>
      <c r="E18" s="194">
        <v>1.612328683620015</v>
      </c>
      <c r="F18" s="195">
        <v>5.2970774023217704E-2</v>
      </c>
      <c r="G18" s="194">
        <v>2.1544346503014435</v>
      </c>
      <c r="H18" s="196">
        <v>0.11412207100890782</v>
      </c>
      <c r="I18" s="289">
        <f>(('Income - Historical'!Y18-'Income - Historical'!Y17)+'Income - Historical'!X18)/'Income - Historical'!Y17</f>
        <v>0.45933333333333337</v>
      </c>
      <c r="J18" s="387">
        <f>(('Income - Historical'!Y18+SUM('Income - Historical'!X16:X18))/'Income - Historical'!Y15)^(1/3)-1</f>
        <v>-0.28473170940132675</v>
      </c>
      <c r="K18" s="195">
        <f>+('Income - Historical'!M18+'Income - Historical'!J18*(1-'Ratios - Historical'!W18))/'Balance Sheet - Historical'!X17</f>
        <v>8.4012577183390433E-2</v>
      </c>
      <c r="L18" s="195">
        <f>+'Income - Historical'!I18/AVERAGE('Balance Sheet - Historical'!S16:S17)</f>
        <v>0.17078421582867104</v>
      </c>
      <c r="M18" s="195">
        <f>('Income - Historical'!I18*(1-'Ratios - Historical'!W18))/(('Balance Sheet - Historical'!Q17+'Balance Sheet - Historical'!P17+'Balance Sheet - Historical'!Q16+'Balance Sheet - Historical'!P16)/2)</f>
        <v>8.4870200058996731E-2</v>
      </c>
      <c r="N18" s="194">
        <v>6.1991869918699187</v>
      </c>
      <c r="O18" s="195">
        <v>4.1967213114754098E-2</v>
      </c>
      <c r="P18" s="391">
        <v>0.26016260162601629</v>
      </c>
      <c r="Q18" s="198">
        <f>+('Balance Sheet - Historical'!L17+'Balance Sheet - Historical'!M17+'Balance Sheet - Historical'!O17)/'Balance Sheet - Historical'!G17</f>
        <v>0.50059069373037257</v>
      </c>
      <c r="R18" s="197">
        <f>(+'Balance Sheet - Historical'!M17+'Balance Sheet - Historical'!I17)/('Balance Sheet - Historical'!R17+'Balance Sheet - Historical'!I17)</f>
        <v>0.38789128917939014</v>
      </c>
      <c r="S18" s="197">
        <f>+('Balance Sheet - Historical'!M17+'Balance Sheet - Historical'!I17-'Balance Sheet - Historical'!B17)/('Balance Sheet - Historical'!R17+'Balance Sheet - Historical'!I17-'Balance Sheet - Historical'!B17)</f>
        <v>0.36817975211387621</v>
      </c>
      <c r="T18" s="197"/>
      <c r="U18" s="197"/>
      <c r="V18" s="192">
        <v>4.382397572078907</v>
      </c>
      <c r="W18" s="237">
        <v>0.51697323164348741</v>
      </c>
    </row>
    <row r="19" spans="1:23" ht="15.5" x14ac:dyDescent="0.35">
      <c r="A19" s="150">
        <v>1976</v>
      </c>
      <c r="B19" s="177">
        <v>2.6756271246316055</v>
      </c>
      <c r="C19" s="188">
        <v>4.4696068451617723</v>
      </c>
      <c r="D19" s="189">
        <v>4.5049790979845697E-2</v>
      </c>
      <c r="E19" s="180">
        <v>1.8233724520046297</v>
      </c>
      <c r="F19" s="181">
        <v>8.21425478412173E-2</v>
      </c>
      <c r="G19" s="180">
        <v>2.0276940322545451</v>
      </c>
      <c r="H19" s="190">
        <v>0.16655995405181978</v>
      </c>
      <c r="I19" s="288">
        <f>(('Income - Historical'!Y19-'Income - Historical'!Y18)+'Income - Historical'!X19)/'Income - Historical'!Y18</f>
        <v>0.7142857142857143</v>
      </c>
      <c r="J19" s="386">
        <f>(('Income - Historical'!Y19+SUM('Income - Historical'!X17:X19))/'Income - Historical'!Y16)^(1/3)-1</f>
        <v>0.11770157268747394</v>
      </c>
      <c r="K19" s="181">
        <f>+('Income - Historical'!M19+'Income - Historical'!J19*(1-'Ratios - Historical'!W19))/'Balance Sheet - Historical'!X18</f>
        <v>0.11655759145613037</v>
      </c>
      <c r="L19" s="181">
        <f>+'Income - Historical'!I19/AVERAGE('Balance Sheet - Historical'!S17:S18)</f>
        <v>0.2349273485221256</v>
      </c>
      <c r="M19" s="181">
        <f>('Income - Historical'!I19*(1-'Ratios - Historical'!W19))/(('Balance Sheet - Historical'!Q18+'Balance Sheet - Historical'!P18+'Balance Sheet - Historical'!Q17+'Balance Sheet - Historical'!P17)/2)</f>
        <v>0.11812178797833751</v>
      </c>
      <c r="N19" s="180">
        <v>6.4070351758793969</v>
      </c>
      <c r="O19" s="181">
        <v>2.8235294117647056E-2</v>
      </c>
      <c r="P19" s="390">
        <v>0.18090452261306533</v>
      </c>
      <c r="Q19" s="186">
        <f>+('Balance Sheet - Historical'!L18+'Balance Sheet - Historical'!M18+'Balance Sheet - Historical'!O18)/'Balance Sheet - Historical'!G18</f>
        <v>0.51211267156661766</v>
      </c>
      <c r="R19" s="187">
        <f>(+'Balance Sheet - Historical'!M18+'Balance Sheet - Historical'!I18)/('Balance Sheet - Historical'!R18+'Balance Sheet - Historical'!I18)</f>
        <v>0.38483423664201782</v>
      </c>
      <c r="S19" s="187">
        <f>+('Balance Sheet - Historical'!M18+'Balance Sheet - Historical'!I18-'Balance Sheet - Historical'!B18)/('Balance Sheet - Historical'!R18+'Balance Sheet - Historical'!I18-'Balance Sheet - Historical'!B18)</f>
        <v>0.35907931526245046</v>
      </c>
      <c r="T19" s="187"/>
      <c r="U19" s="187"/>
      <c r="V19" s="188">
        <v>8.4663461538461533</v>
      </c>
      <c r="W19" s="236">
        <v>0.51228037898997336</v>
      </c>
    </row>
    <row r="20" spans="1:23" ht="15.5" x14ac:dyDescent="0.35">
      <c r="A20" s="150">
        <v>1977</v>
      </c>
      <c r="B20" s="177">
        <v>2.6723159097676406</v>
      </c>
      <c r="C20" s="188">
        <v>5.2518382623058395</v>
      </c>
      <c r="D20" s="189">
        <v>4.1471188169301378E-2</v>
      </c>
      <c r="E20" s="180">
        <v>2.1426035408244366</v>
      </c>
      <c r="F20" s="181">
        <v>8.8856314613741619E-2</v>
      </c>
      <c r="G20" s="180">
        <v>1.9909899946809464</v>
      </c>
      <c r="H20" s="190">
        <v>0.17691203336018194</v>
      </c>
      <c r="I20" s="288">
        <f>(('Income - Historical'!Y20-'Income - Historical'!Y19)+'Income - Historical'!X20)/'Income - Historical'!Y19</f>
        <v>0.37771428571428567</v>
      </c>
      <c r="J20" s="386">
        <f>(('Income - Historical'!Y20+SUM('Income - Historical'!X18:X20))/'Income - Historical'!Y17)^(1/3)-1</f>
        <v>0.49489623432644314</v>
      </c>
      <c r="K20" s="181">
        <f>+('Income - Historical'!M20+'Income - Historical'!J20*(1-'Ratios - Historical'!W20))/'Balance Sheet - Historical'!X19</f>
        <v>0.12790901967372692</v>
      </c>
      <c r="L20" s="181">
        <f>+'Income - Historical'!I20/AVERAGE('Balance Sheet - Historical'!S18:S19)</f>
        <v>0.24657333949201124</v>
      </c>
      <c r="M20" s="181">
        <f>('Income - Historical'!I20*(1-'Ratios - Historical'!W20))/(('Balance Sheet - Historical'!Q19+'Balance Sheet - Historical'!P19+'Balance Sheet - Historical'!Q18+'Balance Sheet - Historical'!P18)/2)</f>
        <v>0.13729290121638077</v>
      </c>
      <c r="N20" s="180">
        <v>6.8930041152263373</v>
      </c>
      <c r="O20" s="181">
        <v>2.6268656716417909E-2</v>
      </c>
      <c r="P20" s="390">
        <v>0.18106995884773661</v>
      </c>
      <c r="Q20" s="186">
        <f>+('Balance Sheet - Historical'!L19+'Balance Sheet - Historical'!M19+'Balance Sheet - Historical'!O19)/'Balance Sheet - Historical'!G19</f>
        <v>0.48461109322549067</v>
      </c>
      <c r="R20" s="187">
        <f>(+'Balance Sheet - Historical'!M19+'Balance Sheet - Historical'!I19)/('Balance Sheet - Historical'!R19+'Balance Sheet - Historical'!I19)</f>
        <v>0.2484193216041255</v>
      </c>
      <c r="S20" s="187">
        <f>+('Balance Sheet - Historical'!M19+'Balance Sheet - Historical'!I19-'Balance Sheet - Historical'!B19)/('Balance Sheet - Historical'!R19+'Balance Sheet - Historical'!I19-'Balance Sheet - Historical'!B19)</f>
        <v>0.23708507664483108</v>
      </c>
      <c r="T20" s="187"/>
      <c r="U20" s="187"/>
      <c r="V20" s="188">
        <v>7.866023579849946</v>
      </c>
      <c r="W20" s="236">
        <v>0.49219481735872617</v>
      </c>
    </row>
    <row r="21" spans="1:23" ht="15.5" x14ac:dyDescent="0.35">
      <c r="A21" s="150">
        <v>1978</v>
      </c>
      <c r="B21" s="177">
        <v>2.2852622494965957</v>
      </c>
      <c r="C21" s="188">
        <v>5.4244529768596941</v>
      </c>
      <c r="D21" s="189">
        <v>4.9324335601310713E-2</v>
      </c>
      <c r="E21" s="180">
        <v>2.134038030051471</v>
      </c>
      <c r="F21" s="181">
        <v>0.10526000798021876</v>
      </c>
      <c r="G21" s="180">
        <v>1.9491152712245905</v>
      </c>
      <c r="H21" s="190">
        <v>0.20516388900346663</v>
      </c>
      <c r="I21" s="288">
        <f>(('Income - Historical'!Y21-'Income - Historical'!Y20)+'Income - Historical'!X21)/'Income - Historical'!Y20</f>
        <v>0.22276595744680872</v>
      </c>
      <c r="J21" s="386">
        <f>(('Income - Historical'!Y21+SUM('Income - Historical'!X19:X21))/'Income - Historical'!Y18)^(1/3)-1</f>
        <v>0.41653538630793818</v>
      </c>
      <c r="K21" s="181">
        <f>+('Income - Historical'!M21+'Income - Historical'!J21*(1-'Ratios - Historical'!W21))/'Balance Sheet - Historical'!X20</f>
        <v>0.15575104580189431</v>
      </c>
      <c r="L21" s="181">
        <f>+'Income - Historical'!I21/AVERAGE('Balance Sheet - Historical'!S19:S20)</f>
        <v>0.2740043846726205</v>
      </c>
      <c r="M21" s="181">
        <f>('Income - Historical'!I21*(1-'Ratios - Historical'!W21))/(('Balance Sheet - Historical'!Q20+'Balance Sheet - Historical'!P20+'Balance Sheet - Historical'!Q19+'Balance Sheet - Historical'!P19)/2)</f>
        <v>0.17469444272920828</v>
      </c>
      <c r="N21" s="180">
        <v>6.0795454545454541</v>
      </c>
      <c r="O21" s="181">
        <v>2.6392523364485981E-2</v>
      </c>
      <c r="P21" s="390">
        <v>0.16045454545454543</v>
      </c>
      <c r="Q21" s="186">
        <f>+('Balance Sheet - Historical'!L20+'Balance Sheet - Historical'!M20+'Balance Sheet - Historical'!O20)/'Balance Sheet - Historical'!G20</f>
        <v>0.48889179015166356</v>
      </c>
      <c r="R21" s="187">
        <f>(+'Balance Sheet - Historical'!M20+'Balance Sheet - Historical'!I20)/('Balance Sheet - Historical'!R20+'Balance Sheet - Historical'!I20)</f>
        <v>0.22983870967741937</v>
      </c>
      <c r="S21" s="187">
        <f>+('Balance Sheet - Historical'!M20+'Balance Sheet - Historical'!I20-'Balance Sheet - Historical'!B20)/('Balance Sheet - Historical'!R20+'Balance Sheet - Historical'!I20-'Balance Sheet - Historical'!B20)</f>
        <v>0.22086858586968466</v>
      </c>
      <c r="T21" s="187"/>
      <c r="U21" s="187"/>
      <c r="V21" s="188">
        <v>7.3384494293585201</v>
      </c>
      <c r="W21" s="236">
        <v>0.44952191729790136</v>
      </c>
    </row>
    <row r="22" spans="1:23" ht="15.5" x14ac:dyDescent="0.35">
      <c r="A22" s="150">
        <v>1979</v>
      </c>
      <c r="B22" s="177">
        <v>2.3474732262382862</v>
      </c>
      <c r="C22" s="188">
        <v>6.400888905214055</v>
      </c>
      <c r="D22" s="189">
        <v>3.2057583451745905E-2</v>
      </c>
      <c r="E22" s="180">
        <v>2.0998336920367837</v>
      </c>
      <c r="F22" s="181">
        <v>6.7315593817256908E-2</v>
      </c>
      <c r="G22" s="180">
        <v>2.0598696208526031</v>
      </c>
      <c r="H22" s="190">
        <v>0.13866134671382083</v>
      </c>
      <c r="I22" s="288">
        <f>(('Income - Historical'!Y22-'Income - Historical'!Y21)+'Income - Historical'!X22)/'Income - Historical'!Y21</f>
        <v>-0.14589285714285719</v>
      </c>
      <c r="J22" s="386">
        <f>(('Income - Historical'!Y22+SUM('Income - Historical'!X20:X22))/'Income - Historical'!Y19)^(1/3)-1</f>
        <v>0.13013874909649759</v>
      </c>
      <c r="K22" s="181">
        <f>+('Income - Historical'!M22+'Income - Historical'!J22*(1-'Ratios - Historical'!W22))/'Balance Sheet - Historical'!X21</f>
        <v>0.1135604514208135</v>
      </c>
      <c r="L22" s="181">
        <f>+'Income - Historical'!I22/AVERAGE('Balance Sheet - Historical'!S20:S21)</f>
        <v>0.19354798967579789</v>
      </c>
      <c r="M22" s="181">
        <f>('Income - Historical'!I22*(1-'Ratios - Historical'!W22))/(('Balance Sheet - Historical'!Q21+'Balance Sheet - Historical'!P21+'Balance Sheet - Historical'!Q20+'Balance Sheet - Historical'!P20)/2)</f>
        <v>0.12110940565685531</v>
      </c>
      <c r="N22" s="180">
        <v>6.5441176470588234</v>
      </c>
      <c r="O22" s="181">
        <v>3.9550561797752806E-2</v>
      </c>
      <c r="P22" s="390">
        <v>0.25882352941176473</v>
      </c>
      <c r="Q22" s="186">
        <f>+('Balance Sheet - Historical'!L21+'Balance Sheet - Historical'!M21+'Balance Sheet - Historical'!O21)/'Balance Sheet - Historical'!G21</f>
        <v>0.53547624548993122</v>
      </c>
      <c r="R22" s="187">
        <f>(+'Balance Sheet - Historical'!M21+'Balance Sheet - Historical'!I21)/('Balance Sheet - Historical'!R21+'Balance Sheet - Historical'!I21)</f>
        <v>0.40020887273993166</v>
      </c>
      <c r="S22" s="187">
        <f>+('Balance Sheet - Historical'!M21+'Balance Sheet - Historical'!I21-'Balance Sheet - Historical'!B21)/('Balance Sheet - Historical'!R21+'Balance Sheet - Historical'!I21-'Balance Sheet - Historical'!B21)</f>
        <v>0.38417719398183825</v>
      </c>
      <c r="T22" s="187"/>
      <c r="U22" s="187"/>
      <c r="V22" s="188">
        <v>4.148402429363613</v>
      </c>
      <c r="W22" s="236">
        <v>0.42288014761385556</v>
      </c>
    </row>
    <row r="23" spans="1:23" ht="15.5" x14ac:dyDescent="0.35">
      <c r="A23" s="152">
        <v>1980</v>
      </c>
      <c r="B23" s="191">
        <v>2.0535629928413099</v>
      </c>
      <c r="C23" s="192">
        <v>6.7575229677443014</v>
      </c>
      <c r="D23" s="193">
        <v>3.662835850851244E-2</v>
      </c>
      <c r="E23" s="194">
        <v>2.0438840163550673</v>
      </c>
      <c r="F23" s="195">
        <v>7.4864116500871714E-2</v>
      </c>
      <c r="G23" s="194">
        <v>2.0129877123854487</v>
      </c>
      <c r="H23" s="196">
        <v>0.15070054661484747</v>
      </c>
      <c r="I23" s="289">
        <f>(('Income - Historical'!Y23-'Income - Historical'!Y22)+'Income - Historical'!X23)/'Income - Historical'!Y22</f>
        <v>0.15499999999999997</v>
      </c>
      <c r="J23" s="387">
        <f>(('Income - Historical'!Y23+SUM('Income - Historical'!X21:X23))/'Income - Historical'!Y20)^(1/3)-1</f>
        <v>6.2846950425554438E-2</v>
      </c>
      <c r="K23" s="195">
        <f>+('Income - Historical'!M23+'Income - Historical'!J23*(1-'Ratios - Historical'!W23))/'Balance Sheet - Historical'!X22</f>
        <v>0.12005125445321746</v>
      </c>
      <c r="L23" s="195">
        <f>+'Income - Historical'!I23/AVERAGE('Balance Sheet - Historical'!S21:S22)</f>
        <v>0.20651061762268141</v>
      </c>
      <c r="M23" s="195">
        <f>('Income - Historical'!I23*(1-'Ratios - Historical'!W23))/(('Balance Sheet - Historical'!Q22+'Balance Sheet - Historical'!P22+'Balance Sheet - Historical'!Q21+'Balance Sheet - Historical'!P21)/2)</f>
        <v>0.12285521051619928</v>
      </c>
      <c r="N23" s="194">
        <v>5.9466019417475726</v>
      </c>
      <c r="O23" s="195">
        <v>4.1632653061224489E-2</v>
      </c>
      <c r="P23" s="391">
        <v>0.24757281553398058</v>
      </c>
      <c r="Q23" s="198">
        <f>+('Balance Sheet - Historical'!L22+'Balance Sheet - Historical'!M22+'Balance Sheet - Historical'!O22)/'Balance Sheet - Historical'!G22</f>
        <v>0.47075089264141323</v>
      </c>
      <c r="R23" s="197">
        <f>(+'Balance Sheet - Historical'!M22+'Balance Sheet - Historical'!I22)/('Balance Sheet - Historical'!R22+'Balance Sheet - Historical'!I22)</f>
        <v>0.28392011766328074</v>
      </c>
      <c r="S23" s="197">
        <f>+('Balance Sheet - Historical'!M22+'Balance Sheet - Historical'!I22-'Balance Sheet - Historical'!B22)/('Balance Sheet - Historical'!R22+'Balance Sheet - Historical'!I22-'Balance Sheet - Historical'!B22)</f>
        <v>0.2704060129249789</v>
      </c>
      <c r="T23" s="197"/>
      <c r="U23" s="197"/>
      <c r="V23" s="192">
        <v>5.2389791183294667</v>
      </c>
      <c r="W23" s="237">
        <v>0.42562944718117135</v>
      </c>
    </row>
    <row r="24" spans="1:23" ht="15.5" x14ac:dyDescent="0.35">
      <c r="A24" s="150">
        <v>1981</v>
      </c>
      <c r="B24" s="177">
        <v>1.9785725344480569</v>
      </c>
      <c r="C24" s="188">
        <v>6.7900945695622497</v>
      </c>
      <c r="D24" s="189">
        <v>4.5522231743311437E-2</v>
      </c>
      <c r="E24" s="180">
        <v>2.2434829415835744</v>
      </c>
      <c r="F24" s="181">
        <v>0.1021283503789335</v>
      </c>
      <c r="G24" s="180">
        <v>2.0136954483280713</v>
      </c>
      <c r="H24" s="190">
        <v>0.20565539430331287</v>
      </c>
      <c r="I24" s="288">
        <f>(('Income - Historical'!Y24-'Income - Historical'!Y23)+'Income - Historical'!X24)/'Income - Historical'!Y23</f>
        <v>0.85294117647058831</v>
      </c>
      <c r="J24" s="386">
        <f>(('Income - Historical'!Y24+SUM('Income - Historical'!X22:X24))/'Income - Historical'!Y21)^(1/3)-1</f>
        <v>0.20695367512207041</v>
      </c>
      <c r="K24" s="181">
        <f>+('Income - Historical'!M24+'Income - Historical'!J24*(1-'Ratios - Historical'!W24))/'Balance Sheet - Historical'!X23</f>
        <v>0.15682391226289225</v>
      </c>
      <c r="L24" s="181">
        <f>+'Income - Historical'!I24/AVERAGE('Balance Sheet - Historical'!S22:S23)</f>
        <v>0.26230712302393255</v>
      </c>
      <c r="M24" s="181">
        <f>('Income - Historical'!I24*(1-'Ratios - Historical'!W24))/(('Balance Sheet - Historical'!Q23+'Balance Sheet - Historical'!P23+'Balance Sheet - Historical'!Q22+'Balance Sheet - Historical'!P22)/2)</f>
        <v>0.15807480259467657</v>
      </c>
      <c r="N24" s="180">
        <v>7.0461783439490446</v>
      </c>
      <c r="O24" s="181">
        <v>2.7118644067796609E-2</v>
      </c>
      <c r="P24" s="390">
        <v>0.19108280254777069</v>
      </c>
      <c r="Q24" s="186">
        <f>+('Balance Sheet - Historical'!L23+'Balance Sheet - Historical'!M23+'Balance Sheet - Historical'!O23)/'Balance Sheet - Historical'!G23</f>
        <v>0.53322542936786255</v>
      </c>
      <c r="R24" s="187">
        <f>(+'Balance Sheet - Historical'!M23+'Balance Sheet - Historical'!I23)/('Balance Sheet - Historical'!R23+'Balance Sheet - Historical'!I23)</f>
        <v>0.36542157600066844</v>
      </c>
      <c r="S24" s="187">
        <f>+('Balance Sheet - Historical'!M23+'Balance Sheet - Historical'!I23-'Balance Sheet - Historical'!B23)/('Balance Sheet - Historical'!R23+'Balance Sheet - Historical'!I23-'Balance Sheet - Historical'!B23)</f>
        <v>0.35573772230293643</v>
      </c>
      <c r="T24" s="187"/>
      <c r="U24" s="187"/>
      <c r="V24" s="188">
        <v>7.9844173441734423</v>
      </c>
      <c r="W24" s="236">
        <v>0.42026384712387233</v>
      </c>
    </row>
    <row r="25" spans="1:23" ht="15.5" x14ac:dyDescent="0.35">
      <c r="A25" s="150">
        <v>1982</v>
      </c>
      <c r="B25" s="177">
        <v>2.1052364167539936</v>
      </c>
      <c r="C25" s="188">
        <v>6.4327400692221914</v>
      </c>
      <c r="D25" s="189">
        <v>3.321246594922115E-2</v>
      </c>
      <c r="E25" s="180">
        <v>2.1422104836699076</v>
      </c>
      <c r="F25" s="181">
        <v>7.1148092744951374E-2</v>
      </c>
      <c r="G25" s="180">
        <v>2.1095953453206668</v>
      </c>
      <c r="H25" s="190">
        <v>0.15009368528319253</v>
      </c>
      <c r="I25" s="288">
        <f>(('Income - Historical'!Y25-'Income - Historical'!Y24)+'Income - Historical'!X25)/'Income - Historical'!Y24</f>
        <v>0.19380434782608696</v>
      </c>
      <c r="J25" s="386">
        <f>(('Income - Historical'!Y25+SUM('Income - Historical'!X23:X25))/'Income - Historical'!Y22)^(1/3)-1</f>
        <v>0.35508114773252775</v>
      </c>
      <c r="K25" s="181">
        <f>+('Income - Historical'!M25+'Income - Historical'!J25*(1-'Ratios - Historical'!W25))/'Balance Sheet - Historical'!X24</f>
        <v>0.1163187857016971</v>
      </c>
      <c r="L25" s="181">
        <f>+'Income - Historical'!I25/AVERAGE('Balance Sheet - Historical'!S23:S24)</f>
        <v>0.18918255133802145</v>
      </c>
      <c r="M25" s="181">
        <f>('Income - Historical'!I25*(1-'Ratios - Historical'!W25))/(('Balance Sheet - Historical'!Q24+'Balance Sheet - Historical'!P24+'Balance Sheet - Historical'!Q23+'Balance Sheet - Historical'!P23)/2)</f>
        <v>0.11733940336749633</v>
      </c>
      <c r="N25" s="180">
        <v>10.088582677165354</v>
      </c>
      <c r="O25" s="181">
        <v>2.6536585365853661E-2</v>
      </c>
      <c r="P25" s="390">
        <v>0.26771653543307089</v>
      </c>
      <c r="Q25" s="186">
        <f>+('Balance Sheet - Historical'!L24+'Balance Sheet - Historical'!M24+'Balance Sheet - Historical'!O24)/'Balance Sheet - Historical'!G24</f>
        <v>0.51937517209558481</v>
      </c>
      <c r="R25" s="187">
        <f>(+'Balance Sheet - Historical'!M24+'Balance Sheet - Historical'!I24)/('Balance Sheet - Historical'!R24+'Balance Sheet - Historical'!I24)</f>
        <v>0.35554375966176827</v>
      </c>
      <c r="S25" s="187">
        <f>+('Balance Sheet - Historical'!M24+'Balance Sheet - Historical'!I24-'Balance Sheet - Historical'!B24)/('Balance Sheet - Historical'!R24+'Balance Sheet - Historical'!I24-'Balance Sheet - Historical'!B24)</f>
        <v>0.3422643374455871</v>
      </c>
      <c r="T25" s="187"/>
      <c r="U25" s="187"/>
      <c r="V25" s="188">
        <v>5.3735763097949887</v>
      </c>
      <c r="W25" s="236">
        <v>0.40546874999999999</v>
      </c>
    </row>
    <row r="26" spans="1:23" ht="15.5" x14ac:dyDescent="0.35">
      <c r="A26" s="150">
        <v>1983</v>
      </c>
      <c r="B26" s="177">
        <v>2.4515160028526353</v>
      </c>
      <c r="C26" s="188">
        <v>6.3020382746388819</v>
      </c>
      <c r="D26" s="189">
        <v>4.3989967745397644E-2</v>
      </c>
      <c r="E26" s="180">
        <v>2.1082535920780758</v>
      </c>
      <c r="F26" s="181">
        <v>9.2742007514633282E-2</v>
      </c>
      <c r="G26" s="180">
        <v>2.0911213353172999</v>
      </c>
      <c r="H26" s="190">
        <v>0.19393479059400701</v>
      </c>
      <c r="I26" s="288">
        <f>(('Income - Historical'!Y26-'Income - Historical'!Y25)+'Income - Historical'!X26)/'Income - Historical'!Y25</f>
        <v>0.58999999999999986</v>
      </c>
      <c r="J26" s="386">
        <f>(('Income - Historical'!Y26+SUM('Income - Historical'!X24:X26))/'Income - Historical'!Y23)^(1/3)-1</f>
        <v>0.50962582382055444</v>
      </c>
      <c r="K26" s="181">
        <f>+('Income - Historical'!M26+'Income - Historical'!J26*(1-'Ratios - Historical'!W26))/'Balance Sheet - Historical'!X25</f>
        <v>0.14175599138371062</v>
      </c>
      <c r="L26" s="181">
        <f>+'Income - Historical'!I26/AVERAGE('Balance Sheet - Historical'!S24:S25)</f>
        <v>0.25143018631785058</v>
      </c>
      <c r="M26" s="181">
        <f>('Income - Historical'!I26*(1-'Ratios - Historical'!W26))/(('Balance Sheet - Historical'!Q25+'Balance Sheet - Historical'!P25+'Balance Sheet - Historical'!Q24+'Balance Sheet - Historical'!P24)/2)</f>
        <v>0.15370322309091364</v>
      </c>
      <c r="N26" s="180">
        <v>10.928961748633879</v>
      </c>
      <c r="O26" s="181">
        <v>1.8749999999999999E-2</v>
      </c>
      <c r="P26" s="390">
        <v>0.20491803278688525</v>
      </c>
      <c r="Q26" s="186">
        <f>+('Balance Sheet - Historical'!L25+'Balance Sheet - Historical'!M25+'Balance Sheet - Historical'!O25)/'Balance Sheet - Historical'!G25</f>
        <v>0.52339644177563838</v>
      </c>
      <c r="R26" s="187">
        <f>(+'Balance Sheet - Historical'!M25+'Balance Sheet - Historical'!I25)/('Balance Sheet - Historical'!R25+'Balance Sheet - Historical'!I25)</f>
        <v>0.37241045258085348</v>
      </c>
      <c r="S26" s="187">
        <f>+('Balance Sheet - Historical'!M25+'Balance Sheet - Historical'!I25-'Balance Sheet - Historical'!B25)/('Balance Sheet - Historical'!R25+'Balance Sheet - Historical'!I25-'Balance Sheet - Historical'!B25)</f>
        <v>0.29069840891066168</v>
      </c>
      <c r="T26" s="187"/>
      <c r="U26" s="187"/>
      <c r="V26" s="188">
        <v>6.7269388636854615</v>
      </c>
      <c r="W26" s="236">
        <v>0.41248585439456814</v>
      </c>
    </row>
    <row r="27" spans="1:23" ht="15.5" x14ac:dyDescent="0.35">
      <c r="A27" s="150">
        <v>1984</v>
      </c>
      <c r="B27" s="177">
        <v>2.5420110590909966</v>
      </c>
      <c r="C27" s="188">
        <v>5.847981160351102</v>
      </c>
      <c r="D27" s="189">
        <v>4.8894224544801856E-2</v>
      </c>
      <c r="E27" s="180">
        <v>1.9557621125904647</v>
      </c>
      <c r="F27" s="181">
        <v>9.5625471889214234E-2</v>
      </c>
      <c r="G27" s="180">
        <v>2.1303544019497744</v>
      </c>
      <c r="H27" s="190">
        <v>0.20371614497771195</v>
      </c>
      <c r="I27" s="288">
        <f>(('Income - Historical'!Y27-'Income - Historical'!Y26)+'Income - Historical'!X27)/'Income - Historical'!Y26</f>
        <v>-3.7904191616766385E-2</v>
      </c>
      <c r="J27" s="386">
        <f>(('Income - Historical'!Y27+SUM('Income - Historical'!X25:X27))/'Income - Historical'!Y24)^(1/3)-1</f>
        <v>0.21895719638084254</v>
      </c>
      <c r="K27" s="181">
        <f>+('Income - Historical'!M27+'Income - Historical'!J27*(1-'Ratios - Historical'!W27))/'Balance Sheet - Historical'!X26</f>
        <v>0.14424243794029817</v>
      </c>
      <c r="L27" s="181">
        <f>+'Income - Historical'!I27/AVERAGE('Balance Sheet - Historical'!S25:S26)</f>
        <v>0.24393827598212545</v>
      </c>
      <c r="M27" s="181">
        <f>('Income - Historical'!I27*(1-'Ratios - Historical'!W27))/(('Balance Sheet - Historical'!Q26+'Balance Sheet - Historical'!P26+'Balance Sheet - Historical'!Q25+'Balance Sheet - Historical'!P25)/2)</f>
        <v>0.16058308812493174</v>
      </c>
      <c r="N27" s="180">
        <v>8.8200934579439245</v>
      </c>
      <c r="O27" s="181">
        <v>2.3311258278145695E-2</v>
      </c>
      <c r="P27" s="390">
        <v>0.20560747663551401</v>
      </c>
      <c r="Q27" s="186">
        <f>+('Balance Sheet - Historical'!L26+'Balance Sheet - Historical'!M26+'Balance Sheet - Historical'!O26)/'Balance Sheet - Historical'!G26</f>
        <v>0.53682181359184955</v>
      </c>
      <c r="R27" s="187">
        <f>(+'Balance Sheet - Historical'!M26+'Balance Sheet - Historical'!I26)/('Balance Sheet - Historical'!R26+'Balance Sheet - Historical'!I26)</f>
        <v>0.40806377847996006</v>
      </c>
      <c r="S27" s="187">
        <f>+('Balance Sheet - Historical'!M26+'Balance Sheet - Historical'!I26-'Balance Sheet - Historical'!B26)/('Balance Sheet - Historical'!R26+'Balance Sheet - Historical'!I26-'Balance Sheet - Historical'!B26)</f>
        <v>0.33232897590714572</v>
      </c>
      <c r="T27" s="187"/>
      <c r="U27" s="187"/>
      <c r="V27" s="188">
        <v>6.9693374703413031</v>
      </c>
      <c r="W27" s="236">
        <v>0.3649177520944169</v>
      </c>
    </row>
    <row r="28" spans="1:23" ht="15.5" x14ac:dyDescent="0.35">
      <c r="A28" s="152">
        <v>1985</v>
      </c>
      <c r="B28" s="191">
        <v>2.4611621121548533</v>
      </c>
      <c r="C28" s="192">
        <v>5.5832187273560772</v>
      </c>
      <c r="D28" s="193">
        <v>5.0106398307650866E-2</v>
      </c>
      <c r="E28" s="194">
        <v>1.9023633496080947</v>
      </c>
      <c r="F28" s="195">
        <v>9.5320575721340076E-2</v>
      </c>
      <c r="G28" s="194">
        <v>1.929428267018235</v>
      </c>
      <c r="H28" s="196">
        <v>0.18391421322520562</v>
      </c>
      <c r="I28" s="289">
        <f>(('Income - Historical'!Y28-'Income - Historical'!Y27)+'Income - Historical'!X28)/'Income - Historical'!Y27</f>
        <v>0.79089171974522288</v>
      </c>
      <c r="J28" s="387">
        <f>(('Income - Historical'!Y28+SUM('Income - Historical'!X26:X28))/'Income - Historical'!Y25)^(1/3)-1</f>
        <v>0.39098086681425781</v>
      </c>
      <c r="K28" s="195">
        <f>+('Income - Historical'!M28+'Income - Historical'!J28*(1-'Ratios - Historical'!W28))/'Balance Sheet - Historical'!X27</f>
        <v>0.14006252934225358</v>
      </c>
      <c r="L28" s="195">
        <f>+'Income - Historical'!I28/AVERAGE('Balance Sheet - Historical'!S26:S27)</f>
        <v>0.24723950070969355</v>
      </c>
      <c r="M28" s="195">
        <f>('Income - Historical'!I28*(1-'Ratios - Historical'!W28))/(('Balance Sheet - Historical'!Q27+'Balance Sheet - Historical'!P27+'Balance Sheet - Historical'!Q26+'Balance Sheet - Historical'!P26)/2)</f>
        <v>0.15072052180701054</v>
      </c>
      <c r="N28" s="194">
        <v>13.578431372549021</v>
      </c>
      <c r="O28" s="195">
        <v>1.0015037593984963E-2</v>
      </c>
      <c r="P28" s="391">
        <v>0.20429447852760738</v>
      </c>
      <c r="Q28" s="198">
        <f>+('Balance Sheet - Historical'!L27+'Balance Sheet - Historical'!M27+'Balance Sheet - Historical'!O27)/'Balance Sheet - Historical'!G27</f>
        <v>0.43426154909636661</v>
      </c>
      <c r="R28" s="197">
        <f>(+'Balance Sheet - Historical'!M27+'Balance Sheet - Historical'!I27)/('Balance Sheet - Historical'!R27+'Balance Sheet - Historical'!I27)</f>
        <v>0.26516952248648012</v>
      </c>
      <c r="S28" s="197">
        <f>+('Balance Sheet - Historical'!M27+'Balance Sheet - Historical'!I27-'Balance Sheet - Historical'!B27)/('Balance Sheet - Historical'!R27+'Balance Sheet - Historical'!I27-'Balance Sheet - Historical'!B27)</f>
        <v>0.23394491099053008</v>
      </c>
      <c r="T28" s="197"/>
      <c r="U28" s="197"/>
      <c r="V28" s="192">
        <v>7.5002374544878894</v>
      </c>
      <c r="W28" s="237">
        <v>0.41566411767570999</v>
      </c>
    </row>
    <row r="29" spans="1:23" ht="15.5" x14ac:dyDescent="0.35">
      <c r="A29" s="150">
        <v>1986</v>
      </c>
      <c r="B29" s="177">
        <v>2.8376165601472807</v>
      </c>
      <c r="C29" s="188">
        <v>5.9059408491343772</v>
      </c>
      <c r="D29" s="189">
        <v>5.9033338683185187E-2</v>
      </c>
      <c r="E29" s="180">
        <v>1.8895199627055268</v>
      </c>
      <c r="F29" s="181">
        <v>0.11154467190703481</v>
      </c>
      <c r="G29" s="180">
        <v>1.8442149165994843</v>
      </c>
      <c r="H29" s="190">
        <v>0.20571234779814904</v>
      </c>
      <c r="I29" s="288">
        <f>(('Income - Historical'!Y29-'Income - Historical'!Y28)+'Income - Historical'!X29)/'Income - Historical'!Y28</f>
        <v>0.18050541516245494</v>
      </c>
      <c r="J29" s="386">
        <f>(('Income - Historical'!Y29+SUM('Income - Historical'!X27:X29))/'Income - Historical'!Y26)^(1/3)-1</f>
        <v>0.26097638691446678</v>
      </c>
      <c r="K29" s="181">
        <f>+('Income - Historical'!M29+'Income - Historical'!J29*(1-'Ratios - Historical'!W29))/'Balance Sheet - Historical'!X28</f>
        <v>0.15443544039536566</v>
      </c>
      <c r="L29" s="181">
        <f>+'Income - Historical'!I29/AVERAGE('Balance Sheet - Historical'!S27:S28)</f>
        <v>0.27781545423817122</v>
      </c>
      <c r="M29" s="181">
        <f>('Income - Historical'!I29*(1-'Ratios - Historical'!W29))/(('Balance Sheet - Historical'!Q28+'Balance Sheet - Historical'!P28+'Balance Sheet - Historical'!Q27+'Balance Sheet - Historical'!P27)/2)</f>
        <v>0.17305211026539766</v>
      </c>
      <c r="N29" s="180">
        <v>12.684729064039409</v>
      </c>
      <c r="O29" s="181">
        <v>1.5533980582524273E-2</v>
      </c>
      <c r="P29" s="390">
        <v>0.1970443349753695</v>
      </c>
      <c r="Q29" s="186">
        <f>+('Balance Sheet - Historical'!L28+'Balance Sheet - Historical'!M28+'Balance Sheet - Historical'!O28)/'Balance Sheet - Historical'!G28</f>
        <v>0.47595961214840921</v>
      </c>
      <c r="R29" s="187">
        <f>(+'Balance Sheet - Historical'!M28+'Balance Sheet - Historical'!I28)/('Balance Sheet - Historical'!R28+'Balance Sheet - Historical'!I28)</f>
        <v>0.32480248591419569</v>
      </c>
      <c r="S29" s="187">
        <f>+('Balance Sheet - Historical'!M28+'Balance Sheet - Historical'!I28-'Balance Sheet - Historical'!B28)/('Balance Sheet - Historical'!R28+'Balance Sheet - Historical'!I28-'Balance Sheet - Historical'!B28)</f>
        <v>0.22855599725186357</v>
      </c>
      <c r="T29" s="187"/>
      <c r="U29" s="187"/>
      <c r="V29" s="188">
        <v>10.109683484801003</v>
      </c>
      <c r="W29" s="236">
        <v>0.40529429976951387</v>
      </c>
    </row>
    <row r="30" spans="1:23" ht="15.5" x14ac:dyDescent="0.35">
      <c r="A30" s="150">
        <v>1987</v>
      </c>
      <c r="B30" s="177">
        <v>2.669483050412842</v>
      </c>
      <c r="C30" s="188">
        <v>5.8060804132075576</v>
      </c>
      <c r="D30" s="189">
        <v>5.7711649685403814E-2</v>
      </c>
      <c r="E30" s="180">
        <v>1.7697639933052387</v>
      </c>
      <c r="F30" s="181">
        <v>0.10213599960747327</v>
      </c>
      <c r="G30" s="180">
        <v>1.8689007305368479</v>
      </c>
      <c r="H30" s="190">
        <v>0.190882044280518</v>
      </c>
      <c r="I30" s="288">
        <f>(('Income - Historical'!Y30-'Income - Historical'!Y29)+'Income - Historical'!X30)/'Income - Historical'!Y29</f>
        <v>-0.1242236024844721</v>
      </c>
      <c r="J30" s="386">
        <f>(('Income - Historical'!Y30+SUM('Income - Historical'!X28:X30))/'Income - Historical'!Y27)^(1/3)-1</f>
        <v>0.22861456081706955</v>
      </c>
      <c r="K30" s="181">
        <f>+('Income - Historical'!M30+'Income - Historical'!J30*(1-'Ratios - Historical'!W30))/'Balance Sheet - Historical'!X29</f>
        <v>0.14012389727035784</v>
      </c>
      <c r="L30" s="181">
        <f>+'Income - Historical'!I30/AVERAGE('Balance Sheet - Historical'!S28:S29)</f>
        <v>0.26445189951037851</v>
      </c>
      <c r="M30" s="181">
        <f>('Income - Historical'!I30*(1-'Ratios - Historical'!W30))/(('Balance Sheet - Historical'!Q29+'Balance Sheet - Historical'!P29+'Balance Sheet - Historical'!Q28+'Balance Sheet - Historical'!P28)/2)</f>
        <v>0.16215795682371906</v>
      </c>
      <c r="N30" s="180">
        <v>9.9099099099099082</v>
      </c>
      <c r="O30" s="181">
        <v>2.5454545454545455E-2</v>
      </c>
      <c r="P30" s="390">
        <v>0.25225225225225223</v>
      </c>
      <c r="Q30" s="186">
        <f>+('Balance Sheet - Historical'!L29+'Balance Sheet - Historical'!M29+'Balance Sheet - Historical'!O29)/'Balance Sheet - Historical'!G29</f>
        <v>0.45489414409725826</v>
      </c>
      <c r="R30" s="187">
        <f>(+'Balance Sheet - Historical'!M29+'Balance Sheet - Historical'!I29)/('Balance Sheet - Historical'!R29+'Balance Sheet - Historical'!I29)</f>
        <v>0.28408550305368047</v>
      </c>
      <c r="S30" s="187">
        <f>+('Balance Sheet - Historical'!M29+'Balance Sheet - Historical'!I29-'Balance Sheet - Historical'!B29)/('Balance Sheet - Historical'!R29+'Balance Sheet - Historical'!I29-'Balance Sheet - Historical'!B29)</f>
        <v>0.20869957578642939</v>
      </c>
      <c r="T30" s="187"/>
      <c r="U30" s="187"/>
      <c r="V30" s="188">
        <v>10.884841000308738</v>
      </c>
      <c r="W30" s="236">
        <v>0.41485773182996533</v>
      </c>
    </row>
    <row r="31" spans="1:23" ht="15.5" x14ac:dyDescent="0.35">
      <c r="A31" s="150">
        <v>1988</v>
      </c>
      <c r="B31" s="177">
        <v>2.4285548068066127</v>
      </c>
      <c r="C31" s="188">
        <v>6.009068272196826</v>
      </c>
      <c r="D31" s="189">
        <v>4.6584245884414177E-2</v>
      </c>
      <c r="E31" s="180">
        <v>1.8794139282540139</v>
      </c>
      <c r="F31" s="181">
        <v>8.755108055237773E-2</v>
      </c>
      <c r="G31" s="180">
        <v>1.8945200360495023</v>
      </c>
      <c r="H31" s="190">
        <v>0.16586727628426354</v>
      </c>
      <c r="I31" s="288">
        <f>(('Income - Historical'!Y31-'Income - Historical'!Y30)+'Income - Historical'!X31)/'Income - Historical'!Y30</f>
        <v>0.10909090909090917</v>
      </c>
      <c r="J31" s="386">
        <f>(('Income - Historical'!Y31+SUM('Income - Historical'!X29:X31))/'Income - Historical'!Y28)^(1/3)-1</f>
        <v>4.5987507613528544E-2</v>
      </c>
      <c r="K31" s="181">
        <f>+('Income - Historical'!M31+'Income - Historical'!J31*(1-'Ratios - Historical'!W31))/'Balance Sheet - Historical'!X30</f>
        <v>0.12444882810189539</v>
      </c>
      <c r="L31" s="181">
        <f>+'Income - Historical'!I31/AVERAGE('Balance Sheet - Historical'!S29:S30)</f>
        <v>0.20635822481818</v>
      </c>
      <c r="M31" s="181">
        <f>('Income - Historical'!I31*(1-'Ratios - Historical'!W31))/(('Balance Sheet - Historical'!Q30+'Balance Sheet - Historical'!P30+'Balance Sheet - Historical'!Q29+'Balance Sheet - Historical'!P29)/2)</f>
        <v>0.13717638886588107</v>
      </c>
      <c r="N31" s="180">
        <v>10.944700460829493</v>
      </c>
      <c r="O31" s="181">
        <v>2.6947368421052633E-2</v>
      </c>
      <c r="P31" s="390">
        <v>0.29493087557603687</v>
      </c>
      <c r="Q31" s="186">
        <f>+('Balance Sheet - Historical'!L30+'Balance Sheet - Historical'!M30+'Balance Sheet - Historical'!O30)/'Balance Sheet - Historical'!G30</f>
        <v>0.48605672790622678</v>
      </c>
      <c r="R31" s="187">
        <f>(+'Balance Sheet - Historical'!M30+'Balance Sheet - Historical'!I30)/('Balance Sheet - Historical'!R30+'Balance Sheet - Historical'!I30)</f>
        <v>0.29305785604277451</v>
      </c>
      <c r="S31" s="187">
        <f>+('Balance Sheet - Historical'!M30+'Balance Sheet - Historical'!I30-'Balance Sheet - Historical'!B30)/('Balance Sheet - Historical'!R30+'Balance Sheet - Historical'!I30-'Balance Sheet - Historical'!B30)</f>
        <v>0.27969229030009229</v>
      </c>
      <c r="T31" s="180">
        <f>('Balance Sheet - Historical'!I30+'Balance Sheet - Historical'!M30)/'Income - Historical'!O31</f>
        <v>1.2154463082468692</v>
      </c>
      <c r="U31" s="180">
        <f>+('Balance Sheet - Historical'!M30+'Balance Sheet - Historical'!I30-'Balance Sheet - Historical'!B30)/'Income - Historical'!O31</f>
        <v>1.1384886765785409</v>
      </c>
      <c r="V31" s="188">
        <v>9.1491037479630624</v>
      </c>
      <c r="W31" s="236">
        <v>0.37128811864689215</v>
      </c>
    </row>
    <row r="32" spans="1:23" ht="15.5" x14ac:dyDescent="0.35">
      <c r="A32" s="150">
        <v>1989</v>
      </c>
      <c r="B32" s="177">
        <v>2.5972059606173499</v>
      </c>
      <c r="C32" s="188">
        <v>5.8728168887288446</v>
      </c>
      <c r="D32" s="189">
        <v>4.6292066392568908E-2</v>
      </c>
      <c r="E32" s="180">
        <v>1.8961567916567472</v>
      </c>
      <c r="F32" s="181">
        <v>8.7777016090094598E-2</v>
      </c>
      <c r="G32" s="180">
        <v>1.9844589864094395</v>
      </c>
      <c r="H32" s="190">
        <v>0.1741898883801942</v>
      </c>
      <c r="I32" s="288">
        <f>(('Income - Historical'!Y32-'Income - Historical'!Y31)+'Income - Historical'!X32)/'Income - Historical'!Y31</f>
        <v>0.29377104377104368</v>
      </c>
      <c r="J32" s="386">
        <f>(('Income - Historical'!Y32+SUM('Income - Historical'!X30:X32))/'Income - Historical'!Y29)^(1/3)-1</f>
        <v>7.4310163455932665E-2</v>
      </c>
      <c r="K32" s="181">
        <f>+('Income - Historical'!M32+'Income - Historical'!J32*(1-'Ratios - Historical'!W32))/'Balance Sheet - Historical'!X31</f>
        <v>0.12920650178492607</v>
      </c>
      <c r="L32" s="181">
        <f>+'Income - Historical'!I32/AVERAGE('Balance Sheet - Historical'!S30:S31)</f>
        <v>0.21366756192181438</v>
      </c>
      <c r="M32" s="181">
        <f>('Income - Historical'!I32*(1-'Ratios - Historical'!W32))/(('Balance Sheet - Historical'!Q31+'Balance Sheet - Historical'!P31+'Balance Sheet - Historical'!Q30+'Balance Sheet - Historical'!P30)/2)</f>
        <v>0.13767430906947326</v>
      </c>
      <c r="N32" s="180">
        <v>11.627906976744185</v>
      </c>
      <c r="O32" s="181">
        <v>2.4666666666666667E-2</v>
      </c>
      <c r="P32" s="390">
        <v>0.2868217054263566</v>
      </c>
      <c r="Q32" s="186">
        <f>+('Balance Sheet - Historical'!L31+'Balance Sheet - Historical'!M31+'Balance Sheet - Historical'!O31)/'Balance Sheet - Historical'!G31</f>
        <v>0.5045104645945685</v>
      </c>
      <c r="R32" s="187">
        <f>(+'Balance Sheet - Historical'!M31+'Balance Sheet - Historical'!I31)/('Balance Sheet - Historical'!R31+'Balance Sheet - Historical'!I31)</f>
        <v>0.32880060116966708</v>
      </c>
      <c r="S32" s="187">
        <f>+('Balance Sheet - Historical'!M31+'Balance Sheet - Historical'!I31-'Balance Sheet - Historical'!B31)/('Balance Sheet - Historical'!R31+'Balance Sheet - Historical'!I31-'Balance Sheet - Historical'!B31)</f>
        <v>0.32449394753802246</v>
      </c>
      <c r="T32" s="180">
        <f>('Balance Sheet - Historical'!I31+'Balance Sheet - Historical'!M31)/'Income - Historical'!O32</f>
        <v>1.2924586458440357</v>
      </c>
      <c r="U32" s="180">
        <f>+('Balance Sheet - Historical'!M31+'Balance Sheet - Historical'!I31-'Balance Sheet - Historical'!B31)/'Income - Historical'!O32</f>
        <v>1.267397856090962</v>
      </c>
      <c r="V32" s="188">
        <v>6.946268656716418</v>
      </c>
      <c r="W32" s="236">
        <v>0.39357429718875503</v>
      </c>
    </row>
    <row r="33" spans="1:23" ht="15.5" x14ac:dyDescent="0.35">
      <c r="A33" s="152">
        <v>1990</v>
      </c>
      <c r="B33" s="191">
        <v>2.676258655454304</v>
      </c>
      <c r="C33" s="192">
        <v>5.6780777385159018</v>
      </c>
      <c r="D33" s="193">
        <v>4.0142418318905339E-2</v>
      </c>
      <c r="E33" s="194">
        <v>1.749517270196105</v>
      </c>
      <c r="F33" s="195">
        <v>7.0229854116361387E-2</v>
      </c>
      <c r="G33" s="194">
        <v>2.1301905298238832</v>
      </c>
      <c r="H33" s="196">
        <v>0.1496029701495859</v>
      </c>
      <c r="I33" s="289">
        <f>(('Income - Historical'!Y33-'Income - Historical'!Y32)+'Income - Historical'!X33)/'Income - Historical'!Y32</f>
        <v>-9.2000000000000054E-2</v>
      </c>
      <c r="J33" s="387">
        <f>(('Income - Historical'!Y33+SUM('Income - Historical'!X31:X33))/'Income - Historical'!Y30)^(1/3)-1</f>
        <v>9.1647227717962521E-2</v>
      </c>
      <c r="K33" s="195">
        <f>+('Income - Historical'!M33+'Income - Historical'!J33*(1-'Ratios - Historical'!W33))/'Balance Sheet - Historical'!X32</f>
        <v>0.10572362940666551</v>
      </c>
      <c r="L33" s="195">
        <f>+'Income - Historical'!I33/AVERAGE('Balance Sheet - Historical'!S31:S32)</f>
        <v>0.17128727365432436</v>
      </c>
      <c r="M33" s="195">
        <f>('Income - Historical'!I33*(1-'Ratios - Historical'!W33))/(('Balance Sheet - Historical'!Q32+'Balance Sheet - Historical'!P32+'Balance Sheet - Historical'!Q31+'Balance Sheet - Historical'!P31)/2)</f>
        <v>0.11234636234952815</v>
      </c>
      <c r="N33" s="194">
        <v>11.271367521367521</v>
      </c>
      <c r="O33" s="195">
        <v>3.1848341232227489E-2</v>
      </c>
      <c r="P33" s="391">
        <v>0.35897435897435898</v>
      </c>
      <c r="Q33" s="198">
        <f>+('Balance Sheet - Historical'!L32+'Balance Sheet - Historical'!M32+'Balance Sheet - Historical'!O32)/'Balance Sheet - Historical'!G32</f>
        <v>0.55245363386280955</v>
      </c>
      <c r="R33" s="197">
        <f>(+'Balance Sheet - Historical'!M32+'Balance Sheet - Historical'!I32)/('Balance Sheet - Historical'!R32+'Balance Sheet - Historical'!I32)</f>
        <v>0.39165152026352934</v>
      </c>
      <c r="S33" s="197">
        <f>+('Balance Sheet - Historical'!M32+'Balance Sheet - Historical'!I32-'Balance Sheet - Historical'!B32)/('Balance Sheet - Historical'!R32+'Balance Sheet - Historical'!I32-'Balance Sheet - Historical'!B32)</f>
        <v>0.38798466375781737</v>
      </c>
      <c r="T33" s="194">
        <f>('Balance Sheet - Historical'!I32+'Balance Sheet - Historical'!M32)/'Income - Historical'!O33</f>
        <v>1.7932890365448504</v>
      </c>
      <c r="U33" s="194">
        <f>+('Balance Sheet - Historical'!M32+'Balance Sheet - Historical'!I32-'Balance Sheet - Historical'!B32)/'Income - Historical'!O33</f>
        <v>1.7658554817275747</v>
      </c>
      <c r="V33" s="192">
        <v>5.669083717864206</v>
      </c>
      <c r="W33" s="237">
        <v>0.38284681325820169</v>
      </c>
    </row>
    <row r="34" spans="1:23" ht="15.5" x14ac:dyDescent="0.35">
      <c r="A34" s="150">
        <v>1991</v>
      </c>
      <c r="B34" s="177">
        <v>2.909505290766031</v>
      </c>
      <c r="C34" s="188">
        <v>5.1601727657092873</v>
      </c>
      <c r="D34" s="189">
        <v>3.6411870462034764E-2</v>
      </c>
      <c r="E34" s="180">
        <v>1.6240943851126368</v>
      </c>
      <c r="F34" s="181">
        <v>5.9136314368839329E-2</v>
      </c>
      <c r="G34" s="180">
        <v>2.0973845744521746</v>
      </c>
      <c r="H34" s="190">
        <v>0.12403159354715809</v>
      </c>
      <c r="I34" s="288">
        <f>(('Income - Historical'!Y34-'Income - Historical'!Y33)+'Income - Historical'!X34)/'Income - Historical'!Y33</f>
        <v>0.46590909090909111</v>
      </c>
      <c r="J34" s="386">
        <f>(('Income - Historical'!Y34+SUM('Income - Historical'!X32:X34))/'Income - Historical'!Y31)^(1/3)-1</f>
        <v>0.19237906358364754</v>
      </c>
      <c r="K34" s="181">
        <f>+('Income - Historical'!M34+'Income - Historical'!J34*(1-'Ratios - Historical'!W34))/'Balance Sheet - Historical'!X33</f>
        <v>8.5891864670909507E-2</v>
      </c>
      <c r="L34" s="181">
        <f>+'Income - Historical'!I34/AVERAGE('Balance Sheet - Historical'!S32:S33)</f>
        <v>0.13944956818277601</v>
      </c>
      <c r="M34" s="181">
        <f>('Income - Historical'!I34*(1-'Ratios - Historical'!W34))/(('Balance Sheet - Historical'!Q33+'Balance Sheet - Historical'!P33+'Balance Sheet - Historical'!Q32+'Balance Sheet - Historical'!P32)/2)</f>
        <v>9.1597499255957199E-2</v>
      </c>
      <c r="N34" s="180">
        <v>17.373853211009173</v>
      </c>
      <c r="O34" s="181">
        <v>2.2706270627062704E-2</v>
      </c>
      <c r="P34" s="390">
        <v>0.39449541284403666</v>
      </c>
      <c r="Q34" s="186">
        <f>+('Balance Sheet - Historical'!L33+'Balance Sheet - Historical'!M33+'Balance Sheet - Historical'!O33)/'Balance Sheet - Historical'!G33</f>
        <v>0.49308493775377077</v>
      </c>
      <c r="R34" s="187">
        <f>(+'Balance Sheet - Historical'!M33+'Balance Sheet - Historical'!I33)/('Balance Sheet - Historical'!R33+'Balance Sheet - Historical'!I33)</f>
        <v>0.33269489406524821</v>
      </c>
      <c r="S34" s="187">
        <f>+('Balance Sheet - Historical'!M33+'Balance Sheet - Historical'!I33-'Balance Sheet - Historical'!B33)/('Balance Sheet - Historical'!R33+'Balance Sheet - Historical'!I33-'Balance Sheet - Historical'!B33)</f>
        <v>0.32620788258739047</v>
      </c>
      <c r="T34" s="180">
        <f>('Balance Sheet - Historical'!I33+'Balance Sheet - Historical'!M33)/'Income - Historical'!O34</f>
        <v>1.6227644444444442</v>
      </c>
      <c r="U34" s="180">
        <f>+('Balance Sheet - Historical'!M33+'Balance Sheet - Historical'!I33-'Balance Sheet - Historical'!B33)/'Income - Historical'!O34</f>
        <v>1.5758044444444443</v>
      </c>
      <c r="V34" s="188">
        <v>6.1945461945461942</v>
      </c>
      <c r="W34" s="236">
        <v>0.3830830188088265</v>
      </c>
    </row>
    <row r="35" spans="1:23" ht="15.5" x14ac:dyDescent="0.35">
      <c r="A35" s="150">
        <v>1992</v>
      </c>
      <c r="B35" s="177">
        <v>2.8682912433070538</v>
      </c>
      <c r="C35" s="188">
        <v>5.6780777385159018</v>
      </c>
      <c r="D35" s="189">
        <v>5.3370992903802345E-2</v>
      </c>
      <c r="E35" s="180">
        <v>1.7546740022561436</v>
      </c>
      <c r="F35" s="181">
        <v>9.3648693722899093E-2</v>
      </c>
      <c r="G35" s="180">
        <v>1.7606346617257751</v>
      </c>
      <c r="H35" s="190">
        <v>0.16488113619387718</v>
      </c>
      <c r="I35" s="288">
        <f>(('Income - Historical'!Y35-'Income - Historical'!Y34)+'Income - Historical'!X35)/'Income - Historical'!Y34</f>
        <v>0.82135306553911192</v>
      </c>
      <c r="J35" s="386">
        <f>(('Income - Historical'!Y35+SUM('Income - Historical'!X33:X35))/'Income - Historical'!Y32)^(1/3)-1</f>
        <v>0.33025679553521359</v>
      </c>
      <c r="K35" s="181">
        <f>+('Income - Historical'!M35+'Income - Historical'!J35*(1-'Ratios - Historical'!W35))/'Balance Sheet - Historical'!X34</f>
        <v>0.11963553401954048</v>
      </c>
      <c r="L35" s="181">
        <f>+'Income - Historical'!I35/AVERAGE('Balance Sheet - Historical'!S33:S34)</f>
        <v>0.1920235665286194</v>
      </c>
      <c r="M35" s="181">
        <f>('Income - Historical'!I35*(1-'Ratios - Historical'!W35))/(('Balance Sheet - Historical'!Q34+'Balance Sheet - Historical'!P34+'Balance Sheet - Historical'!Q33+'Balance Sheet - Historical'!P33)/2)</f>
        <v>0.12791755784599679</v>
      </c>
      <c r="N35" s="180">
        <v>20.858895705521473</v>
      </c>
      <c r="O35" s="181">
        <v>1.3529411764705884E-2</v>
      </c>
      <c r="P35" s="390">
        <v>0.28220858895705525</v>
      </c>
      <c r="Q35" s="186">
        <f>+('Balance Sheet - Historical'!L34+'Balance Sheet - Historical'!M34+'Balance Sheet - Historical'!O34)/'Balance Sheet - Historical'!G34</f>
        <v>0.37293575072526186</v>
      </c>
      <c r="R35" s="187">
        <f>(+'Balance Sheet - Historical'!M34+'Balance Sheet - Historical'!I34)/('Balance Sheet - Historical'!R34+'Balance Sheet - Historical'!I34)</f>
        <v>0.18288082849781243</v>
      </c>
      <c r="S35" s="187">
        <f>+('Balance Sheet - Historical'!M34+'Balance Sheet - Historical'!I34-'Balance Sheet - Historical'!B34)/('Balance Sheet - Historical'!R34+'Balance Sheet - Historical'!I34-'Balance Sheet - Historical'!B34)</f>
        <v>0.1769743392509894</v>
      </c>
      <c r="T35" s="180">
        <f>('Balance Sheet - Historical'!I34+'Balance Sheet - Historical'!M34)/'Income - Historical'!O35</f>
        <v>0.71274687065368558</v>
      </c>
      <c r="U35" s="180">
        <f>+('Balance Sheet - Historical'!M34+'Balance Sheet - Historical'!I34-'Balance Sheet - Historical'!B34)/'Income - Historical'!O35</f>
        <v>0.68477746870653677</v>
      </c>
      <c r="V35" s="188">
        <v>18.225750776665517</v>
      </c>
      <c r="W35" s="236">
        <v>0.37403555181466563</v>
      </c>
    </row>
    <row r="36" spans="1:23" ht="15.5" x14ac:dyDescent="0.35">
      <c r="A36" s="150">
        <v>1993</v>
      </c>
      <c r="B36" s="177">
        <v>2.6209386281588452</v>
      </c>
      <c r="C36" s="188">
        <v>6.3626270621000405</v>
      </c>
      <c r="D36" s="189">
        <v>5.6265147049191069E-2</v>
      </c>
      <c r="E36" s="180">
        <v>1.9326160446247336</v>
      </c>
      <c r="F36" s="181">
        <v>0.10873892594043665</v>
      </c>
      <c r="G36" s="180">
        <v>1.6794037643672357</v>
      </c>
      <c r="H36" s="190">
        <v>0.18261656155761935</v>
      </c>
      <c r="I36" s="288">
        <f>(('Income - Historical'!Y36-'Income - Historical'!Y35)+'Income - Historical'!X36)/'Income - Historical'!Y35</f>
        <v>0.4864705882352941</v>
      </c>
      <c r="J36" s="386">
        <f>(('Income - Historical'!Y36+SUM('Income - Historical'!X34:X36))/'Income - Historical'!Y33)^(1/3)-1</f>
        <v>0.5735511488269518</v>
      </c>
      <c r="K36" s="181">
        <f>+('Income - Historical'!M36+'Income - Historical'!J36*(1-'Ratios - Historical'!W36))/'Balance Sheet - Historical'!X35</f>
        <v>0.14224613099040023</v>
      </c>
      <c r="L36" s="181">
        <f>+'Income - Historical'!I36/AVERAGE('Balance Sheet - Historical'!S34:S35)</f>
        <v>0.23385409175061128</v>
      </c>
      <c r="M36" s="181">
        <f>('Income - Historical'!I36*(1-'Ratios - Historical'!W36))/(('Balance Sheet - Historical'!Q35+'Balance Sheet - Historical'!P35+'Balance Sheet - Historical'!Q34+'Balance Sheet - Historical'!P34)/2)</f>
        <v>0.1527545397386347</v>
      </c>
      <c r="N36" s="180">
        <v>23.923444976076556</v>
      </c>
      <c r="O36" s="181">
        <v>1.0800000000000001E-2</v>
      </c>
      <c r="P36" s="390">
        <v>0.25837320574162681</v>
      </c>
      <c r="Q36" s="186">
        <f>+('Balance Sheet - Historical'!L35+'Balance Sheet - Historical'!M35+'Balance Sheet - Historical'!O35)/'Balance Sheet - Historical'!G35</f>
        <v>0.42831799534316439</v>
      </c>
      <c r="R36" s="187">
        <f>(+'Balance Sheet - Historical'!M35+'Balance Sheet - Historical'!I35)/('Balance Sheet - Historical'!R35+'Balance Sheet - Historical'!I35)</f>
        <v>0.22683489350156019</v>
      </c>
      <c r="S36" s="187">
        <f>+('Balance Sheet - Historical'!M35+'Balance Sheet - Historical'!I35-'Balance Sheet - Historical'!B35)/('Balance Sheet - Historical'!R35+'Balance Sheet - Historical'!I35-'Balance Sheet - Historical'!B35)</f>
        <v>0.22641509433962265</v>
      </c>
      <c r="T36" s="180">
        <f>('Balance Sheet - Historical'!I35+'Balance Sheet - Historical'!M35)/'Income - Historical'!O36</f>
        <v>0.85089058524173034</v>
      </c>
      <c r="U36" s="180">
        <f>+('Balance Sheet - Historical'!M35+'Balance Sheet - Historical'!I35-'Balance Sheet - Historical'!B35)/'Income - Historical'!O36</f>
        <v>0.84885496183206111</v>
      </c>
      <c r="V36" s="188">
        <v>14.823529411764707</v>
      </c>
      <c r="W36" s="236">
        <v>0.39078014184397164</v>
      </c>
    </row>
    <row r="37" spans="1:23" ht="15.5" x14ac:dyDescent="0.35">
      <c r="A37" s="150">
        <v>1994</v>
      </c>
      <c r="B37" s="177">
        <v>2.3387720051524261</v>
      </c>
      <c r="C37" s="188">
        <v>6.1519586741282817</v>
      </c>
      <c r="D37" s="189">
        <v>6.2106452828157799E-2</v>
      </c>
      <c r="E37" s="180">
        <v>1.8380650905134037</v>
      </c>
      <c r="F37" s="181">
        <v>0.1141557028390543</v>
      </c>
      <c r="G37" s="180">
        <v>1.7722650771388497</v>
      </c>
      <c r="H37" s="190">
        <v>0.20231416549789616</v>
      </c>
      <c r="I37" s="288">
        <f>(('Income - Historical'!Y37-'Income - Historical'!Y36)+'Income - Historical'!X37)/'Income - Historical'!Y36</f>
        <v>-0.28760000000000002</v>
      </c>
      <c r="J37" s="386">
        <f>(('Income - Historical'!Y37+SUM('Income - Historical'!X35:X37))/'Income - Historical'!Y34)^(1/3)-1</f>
        <v>0.24623248978746171</v>
      </c>
      <c r="K37" s="181">
        <f>+('Income - Historical'!M37+'Income - Historical'!J37*(1-'Ratios - Historical'!W37))/'Balance Sheet - Historical'!X36</f>
        <v>0.14958762009894905</v>
      </c>
      <c r="L37" s="181">
        <f>+'Income - Historical'!I37/AVERAGE('Balance Sheet - Historical'!S35:S36)</f>
        <v>0.24530740353252509</v>
      </c>
      <c r="M37" s="181">
        <f>('Income - Historical'!I37*(1-'Ratios - Historical'!W37))/(('Balance Sheet - Historical'!Q36+'Balance Sheet - Historical'!P36+'Balance Sheet - Historical'!Q35+'Balance Sheet - Historical'!P35)/2)</f>
        <v>0.16035927273209</v>
      </c>
      <c r="N37" s="180">
        <v>12.589928057553958</v>
      </c>
      <c r="O37" s="181">
        <v>1.7714285714285714E-2</v>
      </c>
      <c r="P37" s="390">
        <v>0.22302158273381295</v>
      </c>
      <c r="Q37" s="186">
        <f>+('Balance Sheet - Historical'!L36+'Balance Sheet - Historical'!M36+'Balance Sheet - Historical'!O36)/'Balance Sheet - Historical'!G36</f>
        <v>0.4417358692740424</v>
      </c>
      <c r="R37" s="187">
        <f>(+'Balance Sheet - Historical'!M36+'Balance Sheet - Historical'!I36)/('Balance Sheet - Historical'!R36+'Balance Sheet - Historical'!I36)</f>
        <v>0.23436973846671905</v>
      </c>
      <c r="S37" s="187">
        <f>+('Balance Sheet - Historical'!M36+'Balance Sheet - Historical'!I36-'Balance Sheet - Historical'!B36)/('Balance Sheet - Historical'!R36+'Balance Sheet - Historical'!I36-'Balance Sheet - Historical'!B36)</f>
        <v>0.23204233280792616</v>
      </c>
      <c r="T37" s="180">
        <f>('Balance Sheet - Historical'!I36+'Balance Sheet - Historical'!M36)/'Income - Historical'!O37</f>
        <v>0.81498829039812659</v>
      </c>
      <c r="U37" s="180">
        <f>+('Balance Sheet - Historical'!M36+'Balance Sheet - Historical'!I36-'Balance Sheet - Historical'!B36)/'Income - Historical'!O37</f>
        <v>0.80444964871194391</v>
      </c>
      <c r="V37" s="188">
        <v>20.336734693877549</v>
      </c>
      <c r="W37" s="236">
        <v>0.39102902374670184</v>
      </c>
    </row>
    <row r="38" spans="1:23" ht="15.5" x14ac:dyDescent="0.35">
      <c r="A38" s="152">
        <v>1995</v>
      </c>
      <c r="B38" s="191">
        <v>2.5216049382716048</v>
      </c>
      <c r="C38" s="192">
        <v>5.8925417997369918</v>
      </c>
      <c r="D38" s="193">
        <v>6.5507696790171419E-2</v>
      </c>
      <c r="E38" s="194">
        <v>1.7614404242579764</v>
      </c>
      <c r="F38" s="195">
        <v>0.11538790522624243</v>
      </c>
      <c r="G38" s="194">
        <v>1.7201500772456408</v>
      </c>
      <c r="H38" s="196">
        <v>0.19848451408813358</v>
      </c>
      <c r="I38" s="289">
        <f>(('Income - Historical'!Y38-'Income - Historical'!Y37)+'Income - Historical'!X38)/'Income - Historical'!Y37</f>
        <v>0.40800000000000008</v>
      </c>
      <c r="J38" s="387">
        <f>(('Income - Historical'!Y38+SUM('Income - Historical'!X36:X38))/'Income - Historical'!Y35)^(1/3)-1</f>
        <v>0.14050900932167654</v>
      </c>
      <c r="K38" s="195">
        <f>+('Income - Historical'!M38+'Income - Historical'!J38*(1-'Ratios - Historical'!W38))/'Balance Sheet - Historical'!X37</f>
        <v>0.15110910321274326</v>
      </c>
      <c r="L38" s="195">
        <f>+'Income - Historical'!I38/AVERAGE('Balance Sheet - Historical'!S36:S37)</f>
        <v>0.24741608950452851</v>
      </c>
      <c r="M38" s="195">
        <f>('Income - Historical'!I38*(1-'Ratios - Historical'!W38))/(('Balance Sheet - Historical'!Q37+'Balance Sheet - Historical'!P37+'Balance Sheet - Historical'!Q36+'Balance Sheet - Historical'!P36)/2)</f>
        <v>0.16177957961081621</v>
      </c>
      <c r="N38" s="194">
        <v>15.251572327044025</v>
      </c>
      <c r="O38" s="195">
        <v>1.5670103092783504E-2</v>
      </c>
      <c r="P38" s="391">
        <v>0.2389937106918239</v>
      </c>
      <c r="Q38" s="198">
        <f>+('Balance Sheet - Historical'!L37+'Balance Sheet - Historical'!M37+'Balance Sheet - Historical'!O37)/'Balance Sheet - Historical'!G37</f>
        <v>0.39743905442009342</v>
      </c>
      <c r="R38" s="197">
        <f>(+'Balance Sheet - Historical'!M37+'Balance Sheet - Historical'!I37)/('Balance Sheet - Historical'!R37+'Balance Sheet - Historical'!I37)</f>
        <v>0.19678553490708192</v>
      </c>
      <c r="S38" s="197">
        <f>+('Balance Sheet - Historical'!M37+'Balance Sheet - Historical'!I37-'Balance Sheet - Historical'!B37)/('Balance Sheet - Historical'!R37+'Balance Sheet - Historical'!I37-'Balance Sheet - Historical'!B37)</f>
        <v>0.19134304207119748</v>
      </c>
      <c r="T38" s="194">
        <f>('Balance Sheet - Historical'!I37+'Balance Sheet - Historical'!M37)/'Income - Historical'!O38</f>
        <v>0.65452723020380899</v>
      </c>
      <c r="U38" s="194">
        <f>+('Balance Sheet - Historical'!M37+'Balance Sheet - Historical'!I37-'Balance Sheet - Historical'!B37)/'Income - Historical'!O38</f>
        <v>0.63214166388239235</v>
      </c>
      <c r="V38" s="192">
        <v>20.191304347826087</v>
      </c>
      <c r="W38" s="237">
        <v>0.38876302673312191</v>
      </c>
    </row>
    <row r="39" spans="1:23" ht="15.5" x14ac:dyDescent="0.35">
      <c r="A39" s="150">
        <v>1996</v>
      </c>
      <c r="B39" s="177">
        <v>2.6068989071038247</v>
      </c>
      <c r="C39" s="188">
        <v>5.6145642900670314</v>
      </c>
      <c r="D39" s="189">
        <v>6.8688670829616424E-2</v>
      </c>
      <c r="E39" s="180">
        <v>1.6827237991266375</v>
      </c>
      <c r="F39" s="181">
        <v>0.11558406113537119</v>
      </c>
      <c r="G39" s="180">
        <v>1.7497612225405921</v>
      </c>
      <c r="H39" s="190">
        <v>0.20224450811843361</v>
      </c>
      <c r="I39" s="288">
        <f>(('Income - Historical'!Y39-'Income - Historical'!Y38)+'Income - Historical'!X39)/'Income - Historical'!Y38</f>
        <v>0.44600164880461651</v>
      </c>
      <c r="J39" s="386">
        <f>(('Income - Historical'!Y39+SUM('Income - Historical'!X37:X39))/'Income - Historical'!Y36)^(1/3)-1</f>
        <v>0.12683322506766803</v>
      </c>
      <c r="K39" s="181">
        <f>+('Income - Historical'!M39+'Income - Historical'!J39*(1-'Ratios - Historical'!W39))/'Balance Sheet - Historical'!X38</f>
        <v>0.15574145880866441</v>
      </c>
      <c r="L39" s="181">
        <f>+'Income - Historical'!I39/AVERAGE('Balance Sheet - Historical'!S37:S38)</f>
        <v>0.25428583288364959</v>
      </c>
      <c r="M39" s="181">
        <f>('Income - Historical'!I39*(1-'Ratios - Historical'!W39))/(('Balance Sheet - Historical'!Q38+'Balance Sheet - Historical'!P38+'Balance Sheet - Historical'!Q37+'Balance Sheet - Historical'!P37)/2)</f>
        <v>0.16669748438283924</v>
      </c>
      <c r="N39" s="180">
        <v>18.716216216216214</v>
      </c>
      <c r="O39" s="181">
        <v>1.328519855595668E-2</v>
      </c>
      <c r="P39" s="390">
        <v>0.24864864864864863</v>
      </c>
      <c r="Q39" s="186">
        <f>+('Balance Sheet - Historical'!L38+'Balance Sheet - Historical'!M38+'Balance Sheet - Historical'!O38)/'Balance Sheet - Historical'!G38</f>
        <v>0.45058088621635817</v>
      </c>
      <c r="R39" s="187">
        <f>(+'Balance Sheet - Historical'!M38+'Balance Sheet - Historical'!I38)/('Balance Sheet - Historical'!R38+'Balance Sheet - Historical'!I38)</f>
        <v>0.27556179775280898</v>
      </c>
      <c r="S39" s="187">
        <f>+('Balance Sheet - Historical'!M38+'Balance Sheet - Historical'!I38-'Balance Sheet - Historical'!B38)/('Balance Sheet - Historical'!R38+'Balance Sheet - Historical'!I38-'Balance Sheet - Historical'!B38)</f>
        <v>0.27367457579384635</v>
      </c>
      <c r="T39" s="180">
        <f>('Balance Sheet - Historical'!I38+'Balance Sheet - Historical'!M38)/'Income - Historical'!O39</f>
        <v>0.98469259723964864</v>
      </c>
      <c r="U39" s="180">
        <f>+('Balance Sheet - Historical'!M38+'Balance Sheet - Historical'!I38-'Balance Sheet - Historical'!B38)/'Income - Historical'!O39</f>
        <v>0.97540777917189458</v>
      </c>
      <c r="V39" s="188">
        <v>10.210000000000001</v>
      </c>
      <c r="W39" s="236">
        <v>0.38689829895041622</v>
      </c>
    </row>
    <row r="40" spans="1:23" ht="15.5" x14ac:dyDescent="0.35">
      <c r="A40" s="150">
        <v>1997</v>
      </c>
      <c r="B40" s="177">
        <v>2.5358389261744967</v>
      </c>
      <c r="C40" s="188">
        <v>5.3430118110236213</v>
      </c>
      <c r="D40" s="189">
        <v>7.160043998350063E-2</v>
      </c>
      <c r="E40" s="180">
        <v>1.5234604105571845</v>
      </c>
      <c r="F40" s="181">
        <v>0.10908043569333892</v>
      </c>
      <c r="G40" s="180">
        <v>1.805682946432793</v>
      </c>
      <c r="H40" s="190">
        <v>0.19696468252092103</v>
      </c>
      <c r="I40" s="288">
        <f>(('Income - Historical'!Y40-'Income - Historical'!Y39)+'Income - Historical'!X40)/'Income - Historical'!Y39</f>
        <v>0.22530329289428092</v>
      </c>
      <c r="J40" s="386">
        <f>(('Income - Historical'!Y40+SUM('Income - Historical'!X38:X40))/'Income - Historical'!Y37)^(1/3)-1</f>
        <v>0.35212286034973794</v>
      </c>
      <c r="K40" s="181">
        <f>+('Income - Historical'!M40+'Income - Historical'!J40*(1-'Ratios - Historical'!W40))/'Balance Sheet - Historical'!X39</f>
        <v>0.14469311479802027</v>
      </c>
      <c r="L40" s="181">
        <f>+'Income - Historical'!I40/AVERAGE('Balance Sheet - Historical'!S38:S39)</f>
        <v>0.23172860271016468</v>
      </c>
      <c r="M40" s="181">
        <f>('Income - Historical'!I40*(1-'Ratios - Historical'!W40))/(('Balance Sheet - Historical'!Q39+'Balance Sheet - Historical'!P39+'Balance Sheet - Historical'!Q38+'Balance Sheet - Historical'!P38)/2)</f>
        <v>0.15380775691320397</v>
      </c>
      <c r="N40" s="180">
        <v>19.386574074074073</v>
      </c>
      <c r="O40" s="181">
        <v>1.2895522388059702E-2</v>
      </c>
      <c r="P40" s="390">
        <v>0.25</v>
      </c>
      <c r="Q40" s="186">
        <f>+('Balance Sheet - Historical'!L39+'Balance Sheet - Historical'!M39+'Balance Sheet - Historical'!O39)/'Balance Sheet - Historical'!G39</f>
        <v>0.44262450743009074</v>
      </c>
      <c r="R40" s="187">
        <f>(+'Balance Sheet - Historical'!M39+'Balance Sheet - Historical'!I39)/('Balance Sheet - Historical'!R39+'Balance Sheet - Historical'!I39)</f>
        <v>0.27086568881219436</v>
      </c>
      <c r="S40" s="187">
        <f>+('Balance Sheet - Historical'!M39+'Balance Sheet - Historical'!I39-'Balance Sheet - Historical'!B39)/('Balance Sheet - Historical'!R39+'Balance Sheet - Historical'!I39-'Balance Sheet - Historical'!B39)</f>
        <v>0.26762190894384097</v>
      </c>
      <c r="T40" s="180">
        <f>('Balance Sheet - Historical'!I39+'Balance Sheet - Historical'!M39)/'Income - Historical'!O40</f>
        <v>1.0004248990864668</v>
      </c>
      <c r="U40" s="180">
        <f>+('Balance Sheet - Historical'!M39+'Balance Sheet - Historical'!I39-'Balance Sheet - Historical'!B39)/'Income - Historical'!O40</f>
        <v>0.98406628425748877</v>
      </c>
      <c r="V40" s="188">
        <v>11.481132075471699</v>
      </c>
      <c r="W40" s="236">
        <v>0.37503750375037503</v>
      </c>
    </row>
    <row r="41" spans="1:23" ht="15.5" x14ac:dyDescent="0.35">
      <c r="A41" s="150">
        <v>1998</v>
      </c>
      <c r="B41" s="177">
        <v>2.8328350772296962</v>
      </c>
      <c r="C41" s="188">
        <v>5.4359364803132477</v>
      </c>
      <c r="D41" s="189">
        <v>7.3581770709708047E-2</v>
      </c>
      <c r="E41" s="180">
        <v>1.4522578421234056</v>
      </c>
      <c r="F41" s="181">
        <v>0.10685970355049981</v>
      </c>
      <c r="G41" s="180">
        <v>1.7778458709973954</v>
      </c>
      <c r="H41" s="190">
        <v>0.18998008273326181</v>
      </c>
      <c r="I41" s="288">
        <f>(('Income - Historical'!Y41-'Income - Historical'!Y40)+'Income - Historical'!X41)/'Income - Historical'!Y40</f>
        <v>6.5663801337153702E-2</v>
      </c>
      <c r="J41" s="386">
        <f>(('Income - Historical'!Y41+SUM('Income - Historical'!X39:X41))/'Income - Historical'!Y38)^(1/3)-1</f>
        <v>0.23439235712207007</v>
      </c>
      <c r="K41" s="181">
        <f>+('Income - Historical'!M41+'Income - Historical'!J41*(1-'Ratios - Historical'!W41))/'Balance Sheet - Historical'!X40</f>
        <v>0.13910128041075873</v>
      </c>
      <c r="L41" s="181">
        <f>+'Income - Historical'!I41/AVERAGE('Balance Sheet - Historical'!S39:S40)</f>
        <v>0.2266532854426368</v>
      </c>
      <c r="M41" s="181">
        <f>('Income - Historical'!I41*(1-'Ratios - Historical'!W41))/(('Balance Sheet - Historical'!Q40+'Balance Sheet - Historical'!P40+'Balance Sheet - Historical'!Q39+'Balance Sheet - Historical'!P39)/2)</f>
        <v>0.15070928966460076</v>
      </c>
      <c r="N41" s="180">
        <v>17.741935483870968</v>
      </c>
      <c r="O41" s="181">
        <v>1.4318181818181818E-2</v>
      </c>
      <c r="P41" s="390">
        <v>0.25403225806451613</v>
      </c>
      <c r="Q41" s="186">
        <f>+('Balance Sheet - Historical'!L40+'Balance Sheet - Historical'!M40+'Balance Sheet - Historical'!O40)/'Balance Sheet - Historical'!G40</f>
        <v>0.43328205735021491</v>
      </c>
      <c r="R41" s="187">
        <f>(+'Balance Sheet - Historical'!M40+'Balance Sheet - Historical'!I40)/('Balance Sheet - Historical'!R40+'Balance Sheet - Historical'!I40)</f>
        <v>0.27081482866626155</v>
      </c>
      <c r="S41" s="187">
        <f>+('Balance Sheet - Historical'!M40+'Balance Sheet - Historical'!I40-'Balance Sheet - Historical'!B40)/('Balance Sheet - Historical'!R40+'Balance Sheet - Historical'!I40-'Balance Sheet - Historical'!B40)</f>
        <v>0.24119478497762215</v>
      </c>
      <c r="T41" s="180">
        <f>('Balance Sheet - Historical'!I40+'Balance Sheet - Historical'!M40)/'Income - Historical'!O41</f>
        <v>1.0400359066427289</v>
      </c>
      <c r="U41" s="180">
        <f>+('Balance Sheet - Historical'!M40+'Balance Sheet - Historical'!I40-'Balance Sheet - Historical'!B40)/'Income - Historical'!O41</f>
        <v>0.89012567324955127</v>
      </c>
      <c r="V41" s="188">
        <v>12.808955223880597</v>
      </c>
      <c r="W41" s="236">
        <v>0.37310414560161775</v>
      </c>
    </row>
    <row r="42" spans="1:23" ht="15.5" x14ac:dyDescent="0.35">
      <c r="A42" s="150">
        <v>1999</v>
      </c>
      <c r="B42" s="177">
        <v>2.911239860950174</v>
      </c>
      <c r="C42" s="188">
        <v>5.0525641025641024</v>
      </c>
      <c r="D42" s="189">
        <v>7.6872188409632183E-2</v>
      </c>
      <c r="E42" s="180">
        <v>1.3709911478740386</v>
      </c>
      <c r="F42" s="181">
        <v>0.10539108982731099</v>
      </c>
      <c r="G42" s="180">
        <v>1.788128446318521</v>
      </c>
      <c r="H42" s="190">
        <v>0.18845280570872527</v>
      </c>
      <c r="I42" s="288">
        <f>(('Income - Historical'!Y42-'Income - Historical'!Y41)+'Income - Historical'!X42)/'Income - Historical'!Y41</f>
        <v>-9.0909090909090332E-3</v>
      </c>
      <c r="J42" s="386">
        <f>(('Income - Historical'!Y42+SUM('Income - Historical'!X40:X42))/'Income - Historical'!Y39)^(1/3)-1</f>
        <v>8.9481876789335502E-2</v>
      </c>
      <c r="K42" s="181">
        <f>+('Income - Historical'!M42+'Income - Historical'!J42*(1-'Ratios - Historical'!W42))/'Balance Sheet - Historical'!X41</f>
        <v>0.13485591400638808</v>
      </c>
      <c r="L42" s="181">
        <f>+'Income - Historical'!I42/AVERAGE('Balance Sheet - Historical'!S40:S41)</f>
        <v>0.21920258244634447</v>
      </c>
      <c r="M42" s="181">
        <f>('Income - Historical'!I42*(1-'Ratios - Historical'!W42))/(('Balance Sheet - Historical'!Q41+'Balance Sheet - Historical'!P41+'Balance Sheet - Historical'!Q40+'Balance Sheet - Historical'!P40)/2)</f>
        <v>0.14510327676426529</v>
      </c>
      <c r="N42" s="180">
        <v>14.784827586206896</v>
      </c>
      <c r="O42" s="181">
        <v>1.6792611251049538E-2</v>
      </c>
      <c r="P42" s="390">
        <v>0.24827586206896551</v>
      </c>
      <c r="Q42" s="186">
        <f>+('Balance Sheet - Historical'!L41+'Balance Sheet - Historical'!M41+'Balance Sheet - Historical'!O41)/'Balance Sheet - Historical'!G41</f>
        <v>0.44712006717044489</v>
      </c>
      <c r="R42" s="187">
        <f>(+'Balance Sheet - Historical'!M41+'Balance Sheet - Historical'!I41)/('Balance Sheet - Historical'!R41+'Balance Sheet - Historical'!I41)</f>
        <v>0.31029884696838966</v>
      </c>
      <c r="S42" s="187">
        <f>+('Balance Sheet - Historical'!M41+'Balance Sheet - Historical'!I41-'Balance Sheet - Historical'!B41)/('Balance Sheet - Historical'!R41+'Balance Sheet - Historical'!I41-'Balance Sheet - Historical'!B41)</f>
        <v>0.30468132215720384</v>
      </c>
      <c r="T42" s="180">
        <f>('Balance Sheet - Historical'!I41+'Balance Sheet - Historical'!M41)/'Income - Historical'!O42</f>
        <v>1.2138692850567658</v>
      </c>
      <c r="U42" s="180">
        <f>+('Balance Sheet - Historical'!M41+'Balance Sheet - Historical'!I41-'Balance Sheet - Historical'!B41)/'Income - Historical'!O42</f>
        <v>1.1822644983123658</v>
      </c>
      <c r="V42" s="188">
        <v>12.593984962406015</v>
      </c>
      <c r="W42" s="236">
        <v>0.3720276696930393</v>
      </c>
    </row>
    <row r="43" spans="1:23" ht="15.5" x14ac:dyDescent="0.35">
      <c r="A43" s="152">
        <v>2000</v>
      </c>
      <c r="B43" s="191">
        <v>2.9485942089802766</v>
      </c>
      <c r="C43" s="192">
        <v>4.9913901064495931</v>
      </c>
      <c r="D43" s="193">
        <v>6.1758997263989902E-2</v>
      </c>
      <c r="E43" s="194">
        <v>1.3467176846646827</v>
      </c>
      <c r="F43" s="195">
        <v>8.3171933802572956E-2</v>
      </c>
      <c r="G43" s="194">
        <v>1.8461337209302324</v>
      </c>
      <c r="H43" s="196">
        <v>0.15354651162790697</v>
      </c>
      <c r="I43" s="289">
        <f>(('Income - Historical'!Y43-'Income - Historical'!Y42)+'Income - Historical'!X43)/'Income - Historical'!Y42</f>
        <v>-9.7014925373134331E-2</v>
      </c>
      <c r="J43" s="387">
        <f>(('Income - Historical'!Y43+SUM('Income - Historical'!X41:X43))/'Income - Historical'!Y40)^(1/3)-1</f>
        <v>-1.4618911200629192E-2</v>
      </c>
      <c r="K43" s="195">
        <f>+('Income - Historical'!M43+'Income - Historical'!J43*(1-'Ratios - Historical'!W43))/'Balance Sheet - Historical'!X42</f>
        <v>0.11146979810614042</v>
      </c>
      <c r="L43" s="195">
        <f>+'Income - Historical'!I43/AVERAGE('Balance Sheet - Historical'!S41:S42)</f>
        <v>0.17825893519205102</v>
      </c>
      <c r="M43" s="195">
        <f>('Income - Historical'!I43*(1-'Ratios - Historical'!W43))/(('Balance Sheet - Historical'!Q42+'Balance Sheet - Historical'!P42+'Balance Sheet - Historical'!Q41+'Balance Sheet - Historical'!P41)/2)</f>
        <v>0.11740179641854627</v>
      </c>
      <c r="N43" s="194">
        <v>14.33939393939394</v>
      </c>
      <c r="O43" s="195">
        <v>2.2189349112426034E-2</v>
      </c>
      <c r="P43" s="391">
        <v>0.31818181818181818</v>
      </c>
      <c r="Q43" s="198">
        <f>+('Balance Sheet - Historical'!L42+'Balance Sheet - Historical'!M42+'Balance Sheet - Historical'!O42)/'Balance Sheet - Historical'!G42</f>
        <v>0.46822008775050389</v>
      </c>
      <c r="R43" s="197">
        <f>(+'Balance Sheet - Historical'!M42+'Balance Sheet - Historical'!I42)/('Balance Sheet - Historical'!R42+'Balance Sheet - Historical'!I42)</f>
        <v>0.34256675279931098</v>
      </c>
      <c r="S43" s="197">
        <f>+('Balance Sheet - Historical'!M42+'Balance Sheet - Historical'!I42-'Balance Sheet - Historical'!B42)/('Balance Sheet - Historical'!R42+'Balance Sheet - Historical'!I42-'Balance Sheet - Historical'!B42)</f>
        <v>0.334008097165992</v>
      </c>
      <c r="T43" s="194">
        <f>('Balance Sheet - Historical'!I42+'Balance Sheet - Historical'!M42)/'Income - Historical'!O43</f>
        <v>1.5201039596391988</v>
      </c>
      <c r="U43" s="194">
        <f>+('Balance Sheet - Historical'!M42+'Balance Sheet - Historical'!I42-'Balance Sheet - Historical'!B42)/'Income - Historical'!O43</f>
        <v>1.4630790399021556</v>
      </c>
      <c r="V43" s="192">
        <v>7.729903536977492</v>
      </c>
      <c r="W43" s="237">
        <v>0.3690874343048256</v>
      </c>
    </row>
    <row r="44" spans="1:23" ht="15.5" x14ac:dyDescent="0.35">
      <c r="A44" s="150">
        <v>2001</v>
      </c>
      <c r="B44" s="177">
        <f>+'Balance Sheet - Historical'!E43/'Balance Sheet - Historical'!L43</f>
        <v>3.1113785557986873</v>
      </c>
      <c r="C44" s="188">
        <f>+('Income - Historical'!B44-'Income - Historical'!C44)/(('Balance Sheet - Historical'!D43+'Balance Sheet - Historical'!D42)/2)</f>
        <v>5.1793260545126074</v>
      </c>
      <c r="D44" s="189">
        <f>+'Income - Historical'!M44/'Income - Historical'!B44</f>
        <v>4.5602605863192182E-2</v>
      </c>
      <c r="E44" s="180">
        <f>+'Income - Historical'!B44/'Balance Sheet - Historical'!U43</f>
        <v>1.2124195045755293</v>
      </c>
      <c r="F44" s="181">
        <f t="shared" ref="F44:F49" si="0">+D44*E44</f>
        <v>5.5289488808004592E-2</v>
      </c>
      <c r="G44" s="180">
        <f>+'Balance Sheet - Historical'!U43/'Balance Sheet - Historical'!V43</f>
        <v>1.8539230685171022</v>
      </c>
      <c r="H44" s="325">
        <f t="shared" ref="H44:H49" si="1">+F44*G44</f>
        <v>0.10250245874767785</v>
      </c>
      <c r="I44" s="288">
        <f>(('Income - Historical'!Y44-'Income - Historical'!Y43)+'Income - Historical'!X44)/'Income - Historical'!Y43</f>
        <v>0.23970432946145717</v>
      </c>
      <c r="J44" s="386">
        <f>(('Income - Historical'!Y44+SUM('Income - Historical'!X42:X44))/'Income - Historical'!Y41)^(1/3)-1</f>
        <v>3.3132535427075727E-2</v>
      </c>
      <c r="K44" s="181">
        <f>+('Income - Historical'!M44+'Income - Historical'!J44*(1-'Ratios - Historical'!W44))/'Balance Sheet - Historical'!X43</f>
        <v>7.5732275370833588E-2</v>
      </c>
      <c r="L44" s="181">
        <f>+'Income - Historical'!I44/AVERAGE('Balance Sheet - Historical'!S42:S43)</f>
        <v>0.12454563185985069</v>
      </c>
      <c r="M44" s="181">
        <f>('Income - Historical'!I44*(1-'Ratios - Historical'!W44))/(('Balance Sheet - Historical'!Q43+'Balance Sheet - Historical'!P43+'Balance Sheet - Historical'!Q42+'Balance Sheet - Historical'!P42)/2)</f>
        <v>8.1872162998338174E-2</v>
      </c>
      <c r="N44" s="180">
        <f>+'Income - Historical'!Y44/'Income - Historical'!V44</f>
        <v>24.468085106382979</v>
      </c>
      <c r="O44" s="181">
        <f>+'Income - Historical'!X44/'Income - Historical'!Y44</f>
        <v>2.0869565217391303E-2</v>
      </c>
      <c r="P44" s="390">
        <f>+'Income - Historical'!X44/'Income - Historical'!V44</f>
        <v>0.51063829787234039</v>
      </c>
      <c r="Q44" s="186">
        <f>+('Balance Sheet - Historical'!L43+'Balance Sheet - Historical'!M43+'Balance Sheet - Historical'!O43)/'Balance Sheet - Historical'!G43</f>
        <v>0.45307509742447777</v>
      </c>
      <c r="R44" s="187">
        <f>(+'Balance Sheet - Historical'!M43+'Balance Sheet - Historical'!I43)/('Balance Sheet - Historical'!R43+'Balance Sheet - Historical'!I43)</f>
        <v>0.33203903163723536</v>
      </c>
      <c r="S44" s="187">
        <f>+('Balance Sheet - Historical'!M43+'Balance Sheet - Historical'!I43-'Balance Sheet - Historical'!B43)/('Balance Sheet - Historical'!R43+'Balance Sheet - Historical'!I43-'Balance Sheet - Historical'!B43)</f>
        <v>0.28697062533789869</v>
      </c>
      <c r="T44" s="180">
        <f>('Balance Sheet - Historical'!I43+'Balance Sheet - Historical'!M43)/'Income - Historical'!O44</f>
        <v>1.7951807228915664</v>
      </c>
      <c r="U44" s="180">
        <f>+('Balance Sheet - Historical'!M43+'Balance Sheet - Historical'!I43-'Balance Sheet - Historical'!B43)/'Income - Historical'!O44</f>
        <v>1.453450164293538</v>
      </c>
      <c r="V44" s="188">
        <f>+'Income - Historical'!I44/'Income - Historical'!J44</f>
        <v>6.5157699443413728</v>
      </c>
      <c r="W44" s="236">
        <f>+'Income - Historical'!L44/('Income - Historical'!L44+'Income - Historical'!M44)</f>
        <v>0.36898755465859401</v>
      </c>
    </row>
    <row r="45" spans="1:23" ht="15.5" x14ac:dyDescent="0.35">
      <c r="A45" s="150">
        <v>2002</v>
      </c>
      <c r="B45" s="177">
        <f>+'Balance Sheet - Historical'!E44/'Balance Sheet - Historical'!L44</f>
        <v>2.488294314381271</v>
      </c>
      <c r="C45" s="188">
        <f>+('Income - Historical'!B45-'Income - Historical'!C45)/(('Balance Sheet - Historical'!D44+'Balance Sheet - Historical'!D43)/2)</f>
        <v>5.6236348818255912</v>
      </c>
      <c r="D45" s="189">
        <f>+'Income - Historical'!M45/'Income - Historical'!B45</f>
        <v>5.4567161383959922E-2</v>
      </c>
      <c r="E45" s="180">
        <f>+'Income - Historical'!B45/'Balance Sheet - Historical'!U44</f>
        <v>1.2356956899045415</v>
      </c>
      <c r="F45" s="181">
        <f t="shared" si="0"/>
        <v>6.7428406132484811E-2</v>
      </c>
      <c r="G45" s="180">
        <f>+'Balance Sheet - Historical'!U44/'Balance Sheet - Historical'!V44</f>
        <v>1.7988812280473527</v>
      </c>
      <c r="H45" s="190">
        <f t="shared" si="1"/>
        <v>0.12129569402887992</v>
      </c>
      <c r="I45" s="288">
        <f>(('Income - Historical'!Y45-'Income - Historical'!Y44)+'Income - Historical'!X45)/'Income - Historical'!Y44</f>
        <v>-2.6086956521738573E-3</v>
      </c>
      <c r="J45" s="386">
        <f>(('Income - Historical'!Y45+SUM('Income - Historical'!X43:X45))/'Income - Historical'!Y42)^(1/3)-1</f>
        <v>3.6001752389498876E-2</v>
      </c>
      <c r="K45" s="181">
        <f>+('Income - Historical'!M45+'Income - Historical'!J45*(1-'Ratios - Historical'!W45))/'Balance Sheet - Historical'!X44</f>
        <v>8.878555264675865E-2</v>
      </c>
      <c r="L45" s="181">
        <f>+'Income - Historical'!I45/AVERAGE('Balance Sheet - Historical'!S43:S44)</f>
        <v>0.14357651022346468</v>
      </c>
      <c r="M45" s="181">
        <f>('Income - Historical'!I45*(1-'Ratios - Historical'!W45))/(('Balance Sheet - Historical'!Q44+'Balance Sheet - Historical'!P44+'Balance Sheet - Historical'!Q43+'Balance Sheet - Historical'!P43)/2)</f>
        <v>9.6016052740016719E-2</v>
      </c>
      <c r="N45" s="180">
        <f>+'Income - Historical'!Y45/'Income - Historical'!V45</f>
        <v>19.179487179487182</v>
      </c>
      <c r="O45" s="181">
        <f>+'Income - Historical'!X45/'Income - Historical'!Y45</f>
        <v>2.2281639928698752E-2</v>
      </c>
      <c r="P45" s="390">
        <f>+'Income - Historical'!X45/'Income - Historical'!V45</f>
        <v>0.42735042735042739</v>
      </c>
      <c r="Q45" s="186">
        <f>+('Balance Sheet - Historical'!L44+'Balance Sheet - Historical'!M44+'Balance Sheet - Historical'!O44)/'Balance Sheet - Historical'!G44</f>
        <v>0.43534889034874752</v>
      </c>
      <c r="R45" s="187">
        <f>(+'Balance Sheet - Historical'!M44+'Balance Sheet - Historical'!I44)/('Balance Sheet - Historical'!R44+'Balance Sheet - Historical'!I44)</f>
        <v>0.30892833575293654</v>
      </c>
      <c r="S45" s="187">
        <f>+('Balance Sheet - Historical'!M44+'Balance Sheet - Historical'!I44-'Balance Sheet - Historical'!B44)/('Balance Sheet - Historical'!R44+'Balance Sheet - Historical'!I44-'Balance Sheet - Historical'!B44)</f>
        <v>0.25351058521633762</v>
      </c>
      <c r="T45" s="180">
        <f>('Balance Sheet - Historical'!I44+'Balance Sheet - Historical'!M44)/'Income - Historical'!O45</f>
        <v>1.6565817409766455</v>
      </c>
      <c r="U45" s="180">
        <f>+('Balance Sheet - Historical'!M44+'Balance Sheet - Historical'!I44-'Balance Sheet - Historical'!B44)/'Income - Historical'!O45</f>
        <v>1.2584925690021231</v>
      </c>
      <c r="V45" s="188">
        <f>+'Income - Historical'!I45/'Income - Historical'!J45</f>
        <v>9.5154394299287421</v>
      </c>
      <c r="W45" s="236">
        <f>+'Income - Historical'!L45/('Income - Historical'!L45+'Income - Historical'!M45)</f>
        <v>0.35873452544704265</v>
      </c>
    </row>
    <row r="46" spans="1:23" ht="15.5" x14ac:dyDescent="0.35">
      <c r="A46" s="150">
        <v>2003</v>
      </c>
      <c r="B46" s="177">
        <f>+'Balance Sheet - Historical'!E45/'Balance Sheet - Historical'!L45</f>
        <v>2.9068541300527242</v>
      </c>
      <c r="C46" s="188">
        <f>+('Income - Historical'!B46-'Income - Historical'!C46)/(('Balance Sheet - Historical'!D45+'Balance Sheet - Historical'!D44)/2)</f>
        <v>5.767942583732057</v>
      </c>
      <c r="D46" s="189">
        <f>+'Income - Historical'!M46/'Income - Historical'!B46</f>
        <v>4.6921288911170873E-2</v>
      </c>
      <c r="E46" s="180">
        <f>+'Income - Historical'!B46/'Balance Sheet - Historical'!U45</f>
        <v>1.1874763219137308</v>
      </c>
      <c r="F46" s="181">
        <f t="shared" si="0"/>
        <v>5.571791957568871E-2</v>
      </c>
      <c r="G46" s="180">
        <f>+'Balance Sheet - Historical'!U45/'Balance Sheet - Historical'!V45</f>
        <v>1.8066440147644771</v>
      </c>
      <c r="H46" s="190">
        <f t="shared" si="1"/>
        <v>0.10066244591654649</v>
      </c>
      <c r="I46" s="288">
        <f>(('Income - Historical'!Y46-'Income - Historical'!Y45)+'Income - Historical'!X46)/'Income - Historical'!Y45</f>
        <v>-1.2032085561497425E-2</v>
      </c>
      <c r="J46" s="386">
        <f>(('Income - Historical'!Y46+SUM('Income - Historical'!X44:X46))/'Income - Historical'!Y43)^(1/3)-1</f>
        <v>6.9195216027282402E-2</v>
      </c>
      <c r="K46" s="181">
        <f>+('Income - Historical'!M46+'Income - Historical'!J46*(1-'Ratios - Historical'!W46))/'Balance Sheet - Historical'!X45</f>
        <v>7.6714878845698581E-2</v>
      </c>
      <c r="L46" s="181">
        <f>+'Income - Historical'!I46/AVERAGE('Balance Sheet - Historical'!S44:S45)</f>
        <v>0.12368801239316983</v>
      </c>
      <c r="M46" s="181">
        <f>('Income - Historical'!I46*(1-'Ratios - Historical'!W46))/(('Balance Sheet - Historical'!Q45+'Balance Sheet - Historical'!P45+'Balance Sheet - Historical'!Q44+'Balance Sheet - Historical'!P44)/2)</f>
        <v>8.4580200995626548E-2</v>
      </c>
      <c r="N46" s="180">
        <f>+'Income - Historical'!Y46/'Income - Historical'!V46</f>
        <v>20.599999999999998</v>
      </c>
      <c r="O46" s="181">
        <f>+'Income - Historical'!X46/'Income - Historical'!Y46</f>
        <v>2.4965325936199725E-2</v>
      </c>
      <c r="P46" s="390">
        <f>+'Income - Historical'!X46/'Income - Historical'!V46</f>
        <v>0.51428571428571435</v>
      </c>
      <c r="Q46" s="186">
        <f>+('Balance Sheet - Historical'!L45+'Balance Sheet - Historical'!M45+'Balance Sheet - Historical'!O45)/'Balance Sheet - Historical'!G45</f>
        <v>0.45651335578579322</v>
      </c>
      <c r="R46" s="187">
        <f>(+'Balance Sheet - Historical'!M45+'Balance Sheet - Historical'!I45)/('Balance Sheet - Historical'!R45+'Balance Sheet - Historical'!I45)</f>
        <v>0.33447623551667061</v>
      </c>
      <c r="S46" s="187">
        <f>+('Balance Sheet - Historical'!M45+'Balance Sheet - Historical'!I45-'Balance Sheet - Historical'!B45)/('Balance Sheet - Historical'!R45+'Balance Sheet - Historical'!I45-'Balance Sheet - Historical'!B45)</f>
        <v>0.23396727111897395</v>
      </c>
      <c r="T46" s="180">
        <f>('Balance Sheet - Historical'!I45+'Balance Sheet - Historical'!M45)/'Income - Historical'!O46</f>
        <v>2.1665709362435388</v>
      </c>
      <c r="U46" s="180">
        <f>+('Balance Sheet - Historical'!M45+'Balance Sheet - Historical'!I45-'Balance Sheet - Historical'!B45)/'Income - Historical'!O46</f>
        <v>1.31667623970898</v>
      </c>
      <c r="V46" s="188">
        <f>+'Income - Historical'!I46/'Income - Historical'!J46</f>
        <v>7.5756929637526653</v>
      </c>
      <c r="W46" s="236">
        <f>+'Income - Historical'!L46/('Income - Historical'!L46+'Income - Historical'!M46)</f>
        <v>0.34655664868295777</v>
      </c>
    </row>
    <row r="47" spans="1:23" ht="15.5" x14ac:dyDescent="0.35">
      <c r="A47" s="150">
        <v>2004</v>
      </c>
      <c r="B47" s="177">
        <f>+'Balance Sheet - Historical'!E46/'Balance Sheet - Historical'!L46</f>
        <v>2.1517298874531057</v>
      </c>
      <c r="C47" s="188">
        <f>+('Income - Historical'!B47-'Income - Historical'!C47)/(('Balance Sheet - Historical'!D46+'Balance Sheet - Historical'!D45)/2)</f>
        <v>6.2514242878560715</v>
      </c>
      <c r="D47" s="189">
        <f>+'Income - Historical'!M47/'Income - Historical'!B47</f>
        <v>5.6120342149247854E-2</v>
      </c>
      <c r="E47" s="180">
        <f>+'Income - Historical'!B47/'Balance Sheet - Historical'!U46</f>
        <v>1.2577130915431129</v>
      </c>
      <c r="F47" s="181">
        <f t="shared" si="0"/>
        <v>7.0583289022987786E-2</v>
      </c>
      <c r="G47" s="180">
        <f>+'Balance Sheet - Historical'!U46/'Balance Sheet - Historical'!V46</f>
        <v>1.8266811230828306</v>
      </c>
      <c r="H47" s="190">
        <f t="shared" si="1"/>
        <v>0.12893316166339136</v>
      </c>
      <c r="I47" s="288">
        <f>(('Income - Historical'!Y47-'Income - Historical'!Y46)+'Income - Historical'!X47)/'Income - Historical'!Y46</f>
        <v>0.34119278779472961</v>
      </c>
      <c r="J47" s="386">
        <f>(('Income - Historical'!Y47+SUM('Income - Historical'!X45:X47))/'Income - Historical'!Y44)^(1/3)-1</f>
        <v>9.3214911290202096E-2</v>
      </c>
      <c r="K47" s="181">
        <f>+('Income - Historical'!M47+'Income - Historical'!J47*(1-'Ratios - Historical'!W47))/'Balance Sheet - Historical'!X46</f>
        <v>9.7332343475301702E-2</v>
      </c>
      <c r="L47" s="181">
        <f>+'Income - Historical'!I47/AVERAGE('Balance Sheet - Historical'!S45:S46)</f>
        <v>0.15170283724063152</v>
      </c>
      <c r="M47" s="181">
        <f>('Income - Historical'!I47*(1-'Ratios - Historical'!W47))/(('Balance Sheet - Historical'!Q46+'Balance Sheet - Historical'!P46+'Balance Sheet - Historical'!Q45+'Balance Sheet - Historical'!P45)/2)</f>
        <v>0.10744147884620911</v>
      </c>
      <c r="N47" s="180">
        <f>+'Income - Historical'!Y47/'Income - Historical'!V47</f>
        <v>19.606896551724137</v>
      </c>
      <c r="O47" s="181">
        <f>+'Income - Historical'!X47/'Income - Historical'!Y47</f>
        <v>2.0400984875131901E-2</v>
      </c>
      <c r="P47" s="390">
        <f>+'Income - Historical'!X47/'Income - Historical'!V47</f>
        <v>0.39999999999999997</v>
      </c>
      <c r="Q47" s="186">
        <f>+('Balance Sheet - Historical'!L46+'Balance Sheet - Historical'!M46+'Balance Sheet - Historical'!O46)/'Balance Sheet - Historical'!G46</f>
        <v>0.44889450109596873</v>
      </c>
      <c r="R47" s="187">
        <f>(+'Balance Sheet - Historical'!M46+'Balance Sheet - Historical'!I46)/('Balance Sheet - Historical'!R46+'Balance Sheet - Historical'!I46)</f>
        <v>0.32446618483607687</v>
      </c>
      <c r="S47" s="187">
        <f>+('Balance Sheet - Historical'!M46+'Balance Sheet - Historical'!I46-'Balance Sheet - Historical'!B46)/('Balance Sheet - Historical'!R46+'Balance Sheet - Historical'!I46-'Balance Sheet - Historical'!B46)</f>
        <v>0.21902401829965693</v>
      </c>
      <c r="T47" s="180">
        <f>('Balance Sheet - Historical'!I46+'Balance Sheet - Historical'!M46)/'Income - Historical'!O47</f>
        <v>1.8480200344341839</v>
      </c>
      <c r="U47" s="180">
        <f>+('Balance Sheet - Historical'!M46+'Balance Sheet - Historical'!I46-'Balance Sheet - Historical'!B46)/'Income - Historical'!O47</f>
        <v>1.0790421036155895</v>
      </c>
      <c r="V47" s="188">
        <f>+'Income - Historical'!I47/'Income - Historical'!J47</f>
        <v>10.058823529411764</v>
      </c>
      <c r="W47" s="236">
        <f>+'Income - Historical'!L47/('Income - Historical'!L47+'Income - Historical'!M47)</f>
        <v>0.3246568859441552</v>
      </c>
    </row>
    <row r="48" spans="1:23" ht="15.5" x14ac:dyDescent="0.35">
      <c r="A48" s="152">
        <v>2005</v>
      </c>
      <c r="B48" s="191">
        <f>+'Balance Sheet - Historical'!E47/'Balance Sheet - Historical'!L47</f>
        <v>2.3892791327913274</v>
      </c>
      <c r="C48" s="192">
        <f>+('Income - Historical'!B48-'Income - Historical'!C48)/(('Balance Sheet - Historical'!D47+'Balance Sheet - Historical'!D46)/2)</f>
        <v>5.9565355545356038</v>
      </c>
      <c r="D48" s="193">
        <f>+'Income - Historical'!M48/'Income - Historical'!B48</f>
        <v>4.7421357537787992E-2</v>
      </c>
      <c r="E48" s="194">
        <f>+'Income - Historical'!B48/'Balance Sheet - Historical'!U47</f>
        <v>1.2847063506695842</v>
      </c>
      <c r="F48" s="195">
        <f t="shared" si="0"/>
        <v>6.0922519186169186E-2</v>
      </c>
      <c r="G48" s="194">
        <f>+'Balance Sheet - Historical'!U47/'Balance Sheet - Historical'!V47</f>
        <v>1.8083484361067199</v>
      </c>
      <c r="H48" s="196">
        <f t="shared" si="1"/>
        <v>0.11016914229399069</v>
      </c>
      <c r="I48" s="289">
        <f>(('Income - Historical'!Y48-'Income - Historical'!Y47)+'Income - Historical'!X48)/'Income - Historical'!Y47</f>
        <v>-0.17024270137179032</v>
      </c>
      <c r="J48" s="387">
        <f>(('Income - Historical'!Y48+SUM('Income - Historical'!X46:X48))/'Income - Historical'!Y45)^(1/3)-1</f>
        <v>3.264242660415273E-2</v>
      </c>
      <c r="K48" s="195">
        <f>+('Income - Historical'!M48+'Income - Historical'!J48*(1-'Ratios - Historical'!W48))/'Balance Sheet - Historical'!X47</f>
        <v>8.6763520715185685E-2</v>
      </c>
      <c r="L48" s="195">
        <f>+'Income - Historical'!I48/AVERAGE('Balance Sheet - Historical'!S46:S47)</f>
        <v>0.12198386654065976</v>
      </c>
      <c r="M48" s="195">
        <f>('Income - Historical'!I48*(1-'Ratios - Historical'!W48))/(('Balance Sheet - Historical'!Q47+'Balance Sheet - Historical'!P47+'Balance Sheet - Historical'!Q46+'Balance Sheet - Historical'!P46)/2)</f>
        <v>9.0068394233658089E-2</v>
      </c>
      <c r="N48" s="194">
        <f>+'Income - Historical'!Y48/'Income - Historical'!V48</f>
        <v>17.685961002785518</v>
      </c>
      <c r="O48" s="195">
        <f>+'Income - Historical'!X48/'Income - Historical'!Y48</f>
        <v>2.7439024390243903E-2</v>
      </c>
      <c r="P48" s="391">
        <f>+'Income - Historical'!X48/'Income - Historical'!V48</f>
        <v>0.48528551532033432</v>
      </c>
      <c r="Q48" s="198">
        <f>+('Balance Sheet - Historical'!L47+'Balance Sheet - Historical'!M47+'Balance Sheet - Historical'!O47)/'Balance Sheet - Historical'!G47</f>
        <v>0.44505669537975773</v>
      </c>
      <c r="R48" s="197">
        <f>(+'Balance Sheet - Historical'!M47+'Balance Sheet - Historical'!I47)/('Balance Sheet - Historical'!R47+'Balance Sheet - Historical'!I47)</f>
        <v>0.29890522058631802</v>
      </c>
      <c r="S48" s="197">
        <f>+('Balance Sheet - Historical'!M47+'Balance Sheet - Historical'!I47-'Balance Sheet - Historical'!B47)/('Balance Sheet - Historical'!R47+'Balance Sheet - Historical'!I47-'Balance Sheet - Historical'!B47)</f>
        <v>0.28532488178474058</v>
      </c>
      <c r="T48" s="194">
        <f>('Balance Sheet - Historical'!I47+'Balance Sheet - Historical'!M47)/'Income - Historical'!O48</f>
        <v>1.7983835713026619</v>
      </c>
      <c r="U48" s="194">
        <f>+('Balance Sheet - Historical'!M47+'Balance Sheet - Historical'!I47-'Balance Sheet - Historical'!B47)/'Income - Historical'!O48</f>
        <v>1.684056054997356</v>
      </c>
      <c r="V48" s="192">
        <f>+'Income - Historical'!I48/'Income - Historical'!J48</f>
        <v>8.4839400428265499</v>
      </c>
      <c r="W48" s="237">
        <f>+'Income - Historical'!L48/('Income - Historical'!L48+'Income - Historical'!M48)</f>
        <v>0.2944974733295902</v>
      </c>
    </row>
    <row r="49" spans="1:30" ht="16" thickBot="1" x14ac:dyDescent="0.4">
      <c r="A49" s="225">
        <v>2006</v>
      </c>
      <c r="B49" s="226">
        <f>+'Balance Sheet - Historical'!E48/'Balance Sheet - Historical'!L48</f>
        <v>2.7403067129629628</v>
      </c>
      <c r="C49" s="227">
        <f>+('Income - Historical'!B49-'Income - Historical'!C49)/(('Balance Sheet - Historical'!D48+'Balance Sheet - Historical'!D47)/2)</f>
        <v>5.6569576688364016</v>
      </c>
      <c r="D49" s="368">
        <f>+'Income - Historical'!M49/'Income - Historical'!B49</f>
        <v>5.4546445308242819E-2</v>
      </c>
      <c r="E49" s="369">
        <f>+'Income - Historical'!B49/'Balance Sheet - Historical'!U48</f>
        <v>1.3237439202070036</v>
      </c>
      <c r="F49" s="229">
        <f t="shared" si="0"/>
        <v>7.2205525345690275E-2</v>
      </c>
      <c r="G49" s="228">
        <f>+'Balance Sheet - Historical'!U48/'Balance Sheet - Historical'!V48</f>
        <v>1.8082142555905598</v>
      </c>
      <c r="H49" s="230">
        <f t="shared" si="1"/>
        <v>0.13056306026248263</v>
      </c>
      <c r="I49" s="370">
        <f>(('Income - Historical'!Y49-'Income - Historical'!Y48)+'Income - Historical'!X49)/'Income - Historical'!Y48</f>
        <v>7.0121951219512091E-2</v>
      </c>
      <c r="J49" s="388">
        <f>(('Income - Historical'!Y49+SUM('Income - Historical'!X47:X49))/'Income - Historical'!Y46)^(1/3)-1</f>
        <v>6.0251261496232056E-2</v>
      </c>
      <c r="K49" s="229">
        <f>+('Income - Historical'!M49+'Income - Historical'!J49*(1-'Ratios - Historical'!W49))/'Balance Sheet - Historical'!X48</f>
        <v>9.8455178235787505E-2</v>
      </c>
      <c r="L49" s="229">
        <f>+'Income - Historical'!I49/AVERAGE('Balance Sheet - Historical'!S47:S48)</f>
        <v>0.14088333559126648</v>
      </c>
      <c r="M49" s="229">
        <f>('Income - Historical'!I49*(1-'Ratios - Historical'!W49))/(('Balance Sheet - Historical'!Q48+'Balance Sheet - Historical'!P48+'Balance Sheet - Historical'!Q47+'Balance Sheet - Historical'!P47)/2)</f>
        <v>0.10187351407616872</v>
      </c>
      <c r="N49" s="228">
        <f>+'Income - Historical'!Y49/'Income - Historical'!V49</f>
        <v>14.866866466866465</v>
      </c>
      <c r="O49" s="229">
        <f>+'Income - Historical'!X49/'Income - Historical'!Y49</f>
        <v>2.8033472803347285E-2</v>
      </c>
      <c r="P49" s="392">
        <f>+'Income - Historical'!X49/'Income - Historical'!V49</f>
        <v>0.41676989676989679</v>
      </c>
      <c r="Q49" s="232">
        <f>+('Balance Sheet - Historical'!L48+'Balance Sheet - Historical'!M48+'Balance Sheet - Historical'!O48)/'Balance Sheet - Historical'!G48</f>
        <v>0.4487843762455162</v>
      </c>
      <c r="R49" s="231">
        <f>(+'Balance Sheet - Historical'!M48+'Balance Sheet - Historical'!I48)/('Balance Sheet - Historical'!R48+'Balance Sheet - Historical'!I48)</f>
        <v>0.30666556355312874</v>
      </c>
      <c r="S49" s="231">
        <f>+('Balance Sheet - Historical'!M48+'Balance Sheet - Historical'!I48-'Balance Sheet - Historical'!B48)/('Balance Sheet - Historical'!R48+'Balance Sheet - Historical'!I48-'Balance Sheet - Historical'!B48)</f>
        <v>0.28049338904470272</v>
      </c>
      <c r="T49" s="228">
        <f>('Balance Sheet - Historical'!I48+'Balance Sheet - Historical'!M48)/'Income - Historical'!O49</f>
        <v>1.6915120170368116</v>
      </c>
      <c r="U49" s="369">
        <f>+('Balance Sheet - Historical'!M48+'Balance Sheet - Historical'!I48-'Balance Sheet - Historical'!B48)/'Income - Historical'!O49</f>
        <v>1.4908731365987222</v>
      </c>
      <c r="V49" s="371">
        <f>+'Income - Historical'!I49/'Income - Historical'!J49</f>
        <v>8.5765124555160135</v>
      </c>
      <c r="W49" s="372">
        <f>+'Income - Historical'!L49/('Income - Historical'!L49+'Income - Historical'!M49)</f>
        <v>0.30933762649494018</v>
      </c>
    </row>
    <row r="50" spans="1:30" ht="6" customHeight="1" thickTop="1" x14ac:dyDescent="0.35">
      <c r="A50" s="224"/>
      <c r="B50" s="183"/>
      <c r="C50" s="183"/>
      <c r="D50" s="184"/>
      <c r="E50" s="183"/>
      <c r="F50" s="184"/>
      <c r="G50" s="183"/>
      <c r="H50" s="184"/>
      <c r="I50" s="184"/>
      <c r="J50" s="184"/>
      <c r="K50" s="184"/>
      <c r="L50" s="184"/>
      <c r="M50" s="184"/>
      <c r="N50" s="183"/>
      <c r="O50" s="184"/>
      <c r="P50" s="185"/>
      <c r="Q50" s="185"/>
      <c r="R50" s="185"/>
      <c r="S50" s="185"/>
      <c r="T50" s="185"/>
      <c r="U50" s="185"/>
      <c r="V50" s="183"/>
      <c r="W50" s="184"/>
    </row>
    <row r="51" spans="1:30" ht="15" customHeight="1" x14ac:dyDescent="0.35">
      <c r="A51" s="363"/>
      <c r="B51" s="361"/>
      <c r="C51" s="361"/>
      <c r="D51" s="361"/>
      <c r="E51" s="361"/>
      <c r="F51" s="361"/>
      <c r="G51" s="361"/>
      <c r="H51" s="361"/>
      <c r="I51" s="361"/>
      <c r="J51" s="361"/>
      <c r="K51" s="361"/>
      <c r="L51" s="361"/>
      <c r="M51" s="361"/>
      <c r="N51" s="361"/>
      <c r="O51" s="361"/>
      <c r="P51" s="361"/>
      <c r="Q51" s="361"/>
      <c r="R51" s="361"/>
      <c r="S51" s="361"/>
      <c r="T51" s="361"/>
      <c r="U51" s="361"/>
      <c r="V51" s="361"/>
      <c r="W51" s="361"/>
      <c r="X51" s="361"/>
      <c r="Y51" s="361"/>
      <c r="Z51" s="361"/>
      <c r="AA51" s="361"/>
      <c r="AB51" s="361"/>
      <c r="AC51" s="361"/>
      <c r="AD51" s="362"/>
    </row>
    <row r="52" spans="1:30" ht="13.5" customHeight="1" x14ac:dyDescent="0.3">
      <c r="A52" s="257" t="s">
        <v>152</v>
      </c>
      <c r="B52" s="2"/>
      <c r="C52" s="2"/>
      <c r="D52" s="2"/>
      <c r="E52" s="2"/>
      <c r="F52" s="2"/>
      <c r="G52" s="2"/>
      <c r="H52" s="204"/>
      <c r="I52" s="204"/>
      <c r="K52" s="2"/>
      <c r="L52" s="2"/>
      <c r="M52" s="257" t="s">
        <v>154</v>
      </c>
      <c r="N52" s="2"/>
      <c r="O52" s="2"/>
      <c r="P52" s="2"/>
      <c r="Q52" s="2"/>
      <c r="R52" s="2"/>
      <c r="S52" s="2"/>
      <c r="T52" s="2"/>
      <c r="U52" s="2"/>
      <c r="V52" s="2"/>
    </row>
    <row r="53" spans="1:30" s="2" customFormat="1" ht="13.5" customHeight="1" x14ac:dyDescent="0.3">
      <c r="A53" s="257" t="s">
        <v>153</v>
      </c>
      <c r="M53" s="257" t="s">
        <v>155</v>
      </c>
    </row>
    <row r="54" spans="1:30" s="2" customFormat="1" ht="13.5" customHeight="1" x14ac:dyDescent="0.3">
      <c r="A54" s="257" t="s">
        <v>147</v>
      </c>
      <c r="M54" s="257" t="s">
        <v>156</v>
      </c>
    </row>
    <row r="55" spans="1:30" s="2" customFormat="1" ht="13.5" customHeight="1" x14ac:dyDescent="0.3">
      <c r="A55" s="257" t="s">
        <v>148</v>
      </c>
      <c r="M55" s="257" t="s">
        <v>227</v>
      </c>
    </row>
    <row r="56" spans="1:30" s="2" customFormat="1" ht="13.5" customHeight="1" x14ac:dyDescent="0.3">
      <c r="A56" s="257" t="s">
        <v>149</v>
      </c>
      <c r="M56" s="575" t="s">
        <v>226</v>
      </c>
      <c r="N56" s="575"/>
      <c r="O56" s="575"/>
      <c r="P56" s="575"/>
      <c r="Q56" s="575"/>
      <c r="R56" s="575"/>
      <c r="S56" s="575"/>
      <c r="T56" s="575"/>
      <c r="U56" s="575"/>
      <c r="V56" s="575"/>
      <c r="W56" s="575"/>
    </row>
    <row r="57" spans="1:30" s="2" customFormat="1" ht="13.5" customHeight="1" x14ac:dyDescent="0.3">
      <c r="A57" s="257" t="s">
        <v>150</v>
      </c>
      <c r="K57" s="396"/>
      <c r="L57" s="396"/>
      <c r="M57" s="575"/>
      <c r="N57" s="575"/>
      <c r="O57" s="575"/>
      <c r="P57" s="575"/>
      <c r="Q57" s="575"/>
      <c r="R57" s="575"/>
      <c r="S57" s="575"/>
      <c r="T57" s="575"/>
      <c r="U57" s="575"/>
      <c r="V57" s="575"/>
      <c r="W57" s="575"/>
    </row>
    <row r="58" spans="1:30" s="2" customFormat="1" ht="13.5" customHeight="1" x14ac:dyDescent="0.3">
      <c r="A58" s="257" t="s">
        <v>151</v>
      </c>
      <c r="K58" s="396"/>
      <c r="L58" s="396"/>
      <c r="M58" s="257" t="s">
        <v>157</v>
      </c>
      <c r="N58" s="396"/>
      <c r="O58" s="287"/>
      <c r="P58" s="287"/>
      <c r="Q58" s="287"/>
      <c r="R58" s="287"/>
      <c r="S58" s="287"/>
      <c r="T58" s="287"/>
      <c r="U58" s="287"/>
      <c r="V58" s="287"/>
      <c r="W58" s="287"/>
    </row>
    <row r="59" spans="1:30" s="2" customFormat="1" ht="13.5" customHeight="1" x14ac:dyDescent="0.3">
      <c r="A59" s="257" t="s">
        <v>170</v>
      </c>
      <c r="I59" s="287"/>
      <c r="M59" s="257" t="s">
        <v>217</v>
      </c>
      <c r="O59" s="396"/>
      <c r="P59" s="396"/>
      <c r="Q59" s="396"/>
      <c r="R59" s="396"/>
      <c r="S59" s="396"/>
    </row>
    <row r="60" spans="1:30" s="2" customFormat="1" ht="13.5" customHeight="1" x14ac:dyDescent="0.3">
      <c r="A60" s="576" t="s">
        <v>225</v>
      </c>
      <c r="B60" s="576"/>
      <c r="C60" s="576"/>
      <c r="D60" s="576"/>
      <c r="E60" s="576"/>
      <c r="F60" s="576"/>
      <c r="G60" s="576"/>
      <c r="H60" s="576"/>
      <c r="I60" s="576"/>
      <c r="M60" s="257" t="s">
        <v>230</v>
      </c>
    </row>
    <row r="61" spans="1:30" s="2" customFormat="1" ht="13.5" customHeight="1" x14ac:dyDescent="0.3">
      <c r="A61" s="576"/>
      <c r="B61" s="576"/>
      <c r="C61" s="576"/>
      <c r="D61" s="576"/>
      <c r="E61" s="576"/>
      <c r="F61" s="576"/>
      <c r="G61" s="576"/>
      <c r="H61" s="576"/>
      <c r="I61" s="576"/>
      <c r="M61" s="257" t="s">
        <v>158</v>
      </c>
    </row>
    <row r="62" spans="1:30" s="2" customFormat="1" ht="13.5" customHeight="1" x14ac:dyDescent="0.25"/>
    <row r="63" spans="1:30" s="2" customFormat="1" ht="13.5" customHeight="1" x14ac:dyDescent="0.25"/>
    <row r="64" spans="1:30" s="2" customFormat="1" ht="13.5" customHeight="1" x14ac:dyDescent="0.25">
      <c r="K64" s="290"/>
    </row>
    <row r="65" spans="1:13" s="2" customFormat="1" ht="13.5" customHeight="1" x14ac:dyDescent="0.25">
      <c r="L65" s="290"/>
      <c r="M65" s="290"/>
    </row>
    <row r="66" spans="1:13" s="2" customFormat="1" ht="13.5" customHeight="1" x14ac:dyDescent="0.25"/>
    <row r="67" spans="1:13" s="2" customFormat="1" ht="13.5" customHeight="1" x14ac:dyDescent="0.25"/>
    <row r="68" spans="1:13" s="2" customFormat="1" ht="13.5" customHeight="1" x14ac:dyDescent="0.25">
      <c r="A68"/>
      <c r="B68"/>
      <c r="C68"/>
      <c r="D68"/>
      <c r="E68"/>
      <c r="F68"/>
      <c r="G68"/>
      <c r="H68"/>
    </row>
    <row r="69" spans="1:13" s="2" customFormat="1" ht="13.5" customHeight="1" x14ac:dyDescent="0.25">
      <c r="A69"/>
      <c r="B69"/>
      <c r="C69"/>
      <c r="D69"/>
      <c r="E69"/>
      <c r="F69"/>
      <c r="G69"/>
      <c r="H69"/>
    </row>
    <row r="70" spans="1:13" s="2" customFormat="1" ht="13.5" customHeight="1" x14ac:dyDescent="0.25">
      <c r="A70"/>
      <c r="B70"/>
      <c r="C70"/>
      <c r="D70"/>
      <c r="E70"/>
      <c r="F70"/>
      <c r="G70"/>
      <c r="H70"/>
    </row>
    <row r="71" spans="1:13" s="2" customFormat="1" ht="13.5" customHeight="1" x14ac:dyDescent="0.25">
      <c r="A71"/>
      <c r="B71"/>
      <c r="C71"/>
      <c r="D71"/>
      <c r="E71"/>
      <c r="F71"/>
      <c r="G71"/>
      <c r="H71"/>
    </row>
  </sheetData>
  <mergeCells count="29">
    <mergeCell ref="Q4:V4"/>
    <mergeCell ref="S5:S8"/>
    <mergeCell ref="Q5:Q8"/>
    <mergeCell ref="B4:C4"/>
    <mergeCell ref="D4:P4"/>
    <mergeCell ref="G6:G8"/>
    <mergeCell ref="T5:T8"/>
    <mergeCell ref="E6:E7"/>
    <mergeCell ref="F6:F8"/>
    <mergeCell ref="L5:L8"/>
    <mergeCell ref="P5:P8"/>
    <mergeCell ref="D6:D8"/>
    <mergeCell ref="U5:U8"/>
    <mergeCell ref="M56:W57"/>
    <mergeCell ref="A60:I61"/>
    <mergeCell ref="W5:W8"/>
    <mergeCell ref="B5:B8"/>
    <mergeCell ref="C5:C8"/>
    <mergeCell ref="D5:H5"/>
    <mergeCell ref="O5:O8"/>
    <mergeCell ref="H6:H8"/>
    <mergeCell ref="K5:K8"/>
    <mergeCell ref="N5:N7"/>
    <mergeCell ref="R5:R8"/>
    <mergeCell ref="V5:V8"/>
    <mergeCell ref="I5:J6"/>
    <mergeCell ref="I7:I8"/>
    <mergeCell ref="J7:J8"/>
    <mergeCell ref="A4:A8"/>
  </mergeCells>
  <phoneticPr fontId="0" type="noConversion"/>
  <printOptions horizontalCentered="1"/>
  <pageMargins left="0.3" right="0.3" top="0.3" bottom="0.25" header="0.4" footer="0.35"/>
  <pageSetup scale="67" fitToHeight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5E1B22DB754A4FB95E693AACBF0552" ma:contentTypeVersion="8" ma:contentTypeDescription="Create a new document." ma:contentTypeScope="" ma:versionID="6c3547eb62896311d20bafb5ace879ab">
  <xsd:schema xmlns:xsd="http://www.w3.org/2001/XMLSchema" xmlns:xs="http://www.w3.org/2001/XMLSchema" xmlns:p="http://schemas.microsoft.com/office/2006/metadata/properties" xmlns:ns2="789ac22f-bdf3-4910-a920-c68c1243d4c6" xmlns:ns3="440cd060-9f12-415d-ac22-a3d0bcae5648" targetNamespace="http://schemas.microsoft.com/office/2006/metadata/properties" ma:root="true" ma:fieldsID="3e2348eb874e5639a35eda3bfc58437f" ns2:_="" ns3:_="">
    <xsd:import namespace="789ac22f-bdf3-4910-a920-c68c1243d4c6"/>
    <xsd:import namespace="440cd060-9f12-415d-ac22-a3d0bcae56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ac22f-bdf3-4910-a920-c68c1243d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cd060-9f12-415d-ac22-a3d0bcae564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827187-EAFE-4550-A597-172E5BAE0F9D}">
  <ds:schemaRefs>
    <ds:schemaRef ds:uri="440cd060-9f12-415d-ac22-a3d0bcae5648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89ac22f-bdf3-4910-a920-c68c1243d4c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2D3B328-2E05-4D4E-8DDB-EB3E3E858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9ac22f-bdf3-4910-a920-c68c1243d4c6"/>
    <ds:schemaRef ds:uri="440cd060-9f12-415d-ac22-a3d0bcae56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45D752-C6FB-4FC2-AFB7-42D5269F24C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0cb2d2c-a48f-42c0-af0b-3b458f58d40a}" enabled="1" method="Standard" siteId="{ee75c49c-c1cb-49e2-b55d-6b0f8e02208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Income - Historical</vt:lpstr>
      <vt:lpstr>Income - Continuing Ops</vt:lpstr>
      <vt:lpstr>Cash Flow</vt:lpstr>
      <vt:lpstr>Cash Flow (2)</vt:lpstr>
      <vt:lpstr>Balance Sheet - Historical</vt:lpstr>
      <vt:lpstr>Balance Sheet - Continuing Ops</vt:lpstr>
      <vt:lpstr>Growth Rates - Historical</vt:lpstr>
      <vt:lpstr>Growth Rates - Continuing Ops</vt:lpstr>
      <vt:lpstr>Ratios - Historical</vt:lpstr>
      <vt:lpstr>Ratios - Continuing Ops</vt:lpstr>
      <vt:lpstr>Foreign</vt:lpstr>
      <vt:lpstr>Appendix Non-GAAP Adj 2006-2020</vt:lpstr>
      <vt:lpstr>Appendix Non-GAAP Adj 2021-</vt:lpstr>
      <vt:lpstr>'Appendix Non-GAAP Adj 2021-'!Print_Area</vt:lpstr>
      <vt:lpstr>'Balance Sheet - Continuing Ops'!Print_Area</vt:lpstr>
      <vt:lpstr>'Balance Sheet - Historical'!Print_Area</vt:lpstr>
      <vt:lpstr>'Cash Flow'!Print_Area</vt:lpstr>
      <vt:lpstr>'Cash Flow (2)'!Print_Area</vt:lpstr>
      <vt:lpstr>Foreign!Print_Area</vt:lpstr>
      <vt:lpstr>'Growth Rates - Continuing Ops'!Print_Area</vt:lpstr>
      <vt:lpstr>'Growth Rates - Historical'!Print_Area</vt:lpstr>
      <vt:lpstr>'Income - Continuing Ops'!Print_Area</vt:lpstr>
      <vt:lpstr>'Ratios - Continuing Ops'!Print_Area</vt:lpstr>
      <vt:lpstr>'Ratios - Historical'!Print_Area</vt:lpstr>
      <vt:lpstr>'Balance Sheet - Continuing Ops'!Print_Titles</vt:lpstr>
      <vt:lpstr>'Balance Sheet - Historical'!Print_Titles</vt:lpstr>
      <vt:lpstr>'Cash Flow'!Print_Titles</vt:lpstr>
      <vt:lpstr>'Cash Flow (2)'!Print_Titles</vt:lpstr>
      <vt:lpstr>'Growth Rates - Continuing Ops'!Print_Titles</vt:lpstr>
      <vt:lpstr>'Growth Rates - Historical'!Print_Titles</vt:lpstr>
      <vt:lpstr>'Ratios - Continuing Ops'!Print_Titles</vt:lpstr>
      <vt:lpstr>'Ratios - Historical'!Print_Titles</vt:lpstr>
    </vt:vector>
  </TitlesOfParts>
  <Company>Leggett &amp; Platt,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Gariss</dc:creator>
  <cp:lastModifiedBy>Janna Fields</cp:lastModifiedBy>
  <cp:lastPrinted>2025-03-11T18:24:31Z</cp:lastPrinted>
  <dcterms:created xsi:type="dcterms:W3CDTF">2001-08-06T19:18:42Z</dcterms:created>
  <dcterms:modified xsi:type="dcterms:W3CDTF">2026-03-05T13:50:49Z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{CE065813-26F5-4767-BDDE-F443EF1AB89D}</vt:lpwstr>
  </property>
  <property fmtid="{D5CDD505-2E9C-101B-9397-08002B2CF9AE}" pid="5" name="ContentTypeId">
    <vt:lpwstr>0x010100ED5E1B22DB754A4FB95E693AACBF0552</vt:lpwstr>
  </property>
</Properties>
</file>