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codeName="ThisWorkbook"/>
  <mc:AlternateContent xmlns:mc="http://schemas.openxmlformats.org/markup-compatibility/2006">
    <mc:Choice Requires="x15">
      <x15ac:absPath xmlns:x15ac="http://schemas.microsoft.com/office/spreadsheetml/2010/11/ac" url="Z:\Fact Books\Fact Books-2018\Fact Book 2018-Feb\7) Financials\"/>
    </mc:Choice>
  </mc:AlternateContent>
  <bookViews>
    <workbookView xWindow="-15" yWindow="105" windowWidth="7650" windowHeight="8595" tabRatio="722" activeTab="1" xr2:uid="{00000000-000D-0000-FFFF-FFFF00000000}"/>
  </bookViews>
  <sheets>
    <sheet name="Income - Historical" sheetId="16" r:id="rId1"/>
    <sheet name="Income - Continuing Ops" sheetId="12" r:id="rId2"/>
    <sheet name="Cash Flow" sheetId="14" r:id="rId3"/>
    <sheet name="Balance Sheet" sheetId="13" r:id="rId4"/>
    <sheet name="Growth Rates" sheetId="10" r:id="rId5"/>
    <sheet name="Ratios" sheetId="11" r:id="rId6"/>
    <sheet name="Foreign" sheetId="15" r:id="rId7"/>
    <sheet name="Appendix - Non-GAAP Adj" sheetId="17" r:id="rId8"/>
  </sheets>
  <definedNames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REUT" hidden="1">"c5453"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UM_EST" hidden="1">"c402"</definedName>
    <definedName name="IQ_EPS_NUM_EST_REUT" hidden="1">"c5451"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DIFF" hidden="1">"c1864"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_TARGET_PRICE_REUT" hidden="1">"c5317"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39505.4014814815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_xlnm.Print_Area" localSheetId="3">'Balance Sheet'!$A$1:$V$75</definedName>
    <definedName name="_xlnm.Print_Area" localSheetId="2">'Cash Flow'!$A$2:$Q$63</definedName>
    <definedName name="_xlnm.Print_Area" localSheetId="6">Foreign!$A$1:$O$31</definedName>
    <definedName name="_xlnm.Print_Area" localSheetId="4">'Growth Rates'!$A$1:$AA$80</definedName>
    <definedName name="_xlnm.Print_Area" localSheetId="1">'Income - Continuing Ops'!$A$1:$Z$59</definedName>
    <definedName name="_xlnm.Print_Area" localSheetId="5">Ratios!$A$1:$T$81</definedName>
  </definedNames>
  <calcPr calcId="171027"/>
</workbook>
</file>

<file path=xl/calcChain.xml><?xml version="1.0" encoding="utf-8"?>
<calcChain xmlns="http://schemas.openxmlformats.org/spreadsheetml/2006/main">
  <c r="N19" i="17" l="1"/>
  <c r="N22" i="17" s="1"/>
  <c r="K19" i="17"/>
  <c r="J19" i="17"/>
  <c r="J22" i="17" s="1"/>
  <c r="G19" i="17"/>
  <c r="G22" i="17" s="1"/>
  <c r="F19" i="17"/>
  <c r="F22" i="17" s="1"/>
  <c r="C19" i="17"/>
  <c r="C22" i="17" s="1"/>
  <c r="O18" i="17"/>
  <c r="O17" i="17"/>
  <c r="N16" i="17"/>
  <c r="M16" i="17"/>
  <c r="M19" i="17" s="1"/>
  <c r="L16" i="17"/>
  <c r="L19" i="17" s="1"/>
  <c r="L22" i="17" s="1"/>
  <c r="K16" i="17"/>
  <c r="I16" i="17"/>
  <c r="I19" i="17" s="1"/>
  <c r="I22" i="17" s="1"/>
  <c r="H16" i="17"/>
  <c r="H19" i="17" s="1"/>
  <c r="H22" i="17" s="1"/>
  <c r="G16" i="17"/>
  <c r="F16" i="17"/>
  <c r="E16" i="17"/>
  <c r="E19" i="17" s="1"/>
  <c r="E22" i="17" s="1"/>
  <c r="D16" i="17"/>
  <c r="D19" i="17" s="1"/>
  <c r="D22" i="17" s="1"/>
  <c r="C16" i="17"/>
  <c r="O5" i="17"/>
  <c r="O16" i="17" s="1"/>
  <c r="O19" i="17" s="1"/>
  <c r="X70" i="10" l="1"/>
  <c r="F69" i="10" l="1"/>
  <c r="X69" i="10"/>
  <c r="AA69" i="10"/>
  <c r="O21" i="15"/>
  <c r="O18" i="15"/>
  <c r="O17" i="15"/>
  <c r="O16" i="15"/>
  <c r="O15" i="15"/>
  <c r="O12" i="15"/>
  <c r="Z55" i="10"/>
  <c r="Z56" i="10"/>
  <c r="W56" i="10"/>
  <c r="W55" i="10"/>
  <c r="I24" i="10" l="1"/>
  <c r="I25" i="10"/>
  <c r="I26" i="10"/>
  <c r="I27" i="10"/>
  <c r="I28" i="10"/>
  <c r="I29" i="10"/>
  <c r="I30" i="10"/>
  <c r="I31" i="10"/>
  <c r="I32" i="10"/>
  <c r="I33" i="10"/>
  <c r="I34" i="10"/>
  <c r="I35" i="10"/>
  <c r="I36" i="10"/>
  <c r="I23" i="10"/>
  <c r="H7" i="10"/>
  <c r="G7" i="10" l="1"/>
  <c r="R46" i="12" l="1"/>
  <c r="R26" i="12"/>
  <c r="B14" i="15"/>
  <c r="C13" i="15"/>
  <c r="B21" i="15"/>
  <c r="B20" i="15" s="1"/>
  <c r="B15" i="15"/>
  <c r="B19" i="15" s="1"/>
  <c r="Q64" i="11"/>
  <c r="R64" i="11"/>
  <c r="P64" i="11"/>
  <c r="G64" i="11"/>
  <c r="E64" i="11"/>
  <c r="C64" i="11"/>
  <c r="B64" i="11"/>
  <c r="T7" i="10"/>
  <c r="S7" i="10"/>
  <c r="B13" i="15" l="1"/>
  <c r="U70" i="10" l="1"/>
  <c r="T70" i="10"/>
  <c r="S70" i="10"/>
  <c r="H70" i="10"/>
  <c r="G70" i="10"/>
  <c r="F70" i="10" s="1"/>
  <c r="B70" i="10"/>
  <c r="R63" i="13"/>
  <c r="S63" i="13"/>
  <c r="M63" i="13"/>
  <c r="G63" i="13"/>
  <c r="E63" i="13"/>
  <c r="O63" i="13"/>
  <c r="K63" i="13"/>
  <c r="Q60" i="14"/>
  <c r="M60" i="14"/>
  <c r="I60" i="14"/>
  <c r="N60" i="14" s="1"/>
  <c r="F60" i="14"/>
  <c r="O60" i="14"/>
  <c r="E46" i="12"/>
  <c r="Z46" i="12"/>
  <c r="Y46" i="12"/>
  <c r="X46" i="12"/>
  <c r="F46" i="12"/>
  <c r="X26" i="12"/>
  <c r="Z7" i="10" l="1"/>
  <c r="Y7" i="10"/>
  <c r="J46" i="12"/>
  <c r="T64" i="11" s="1"/>
  <c r="K7" i="10"/>
  <c r="J7" i="10"/>
  <c r="S64" i="11"/>
  <c r="L64" i="11"/>
  <c r="W7" i="10"/>
  <c r="V7" i="10"/>
  <c r="N64" i="11"/>
  <c r="C70" i="10"/>
  <c r="N63" i="13"/>
  <c r="P63" i="13" s="1"/>
  <c r="P60" i="14"/>
  <c r="W46" i="12"/>
  <c r="P46" i="12"/>
  <c r="L46" i="12" l="1"/>
  <c r="N46" i="12" s="1"/>
  <c r="D64" i="11" s="1"/>
  <c r="F64" i="11" s="1"/>
  <c r="H64" i="11" s="1"/>
  <c r="Q7" i="10"/>
  <c r="P7" i="10"/>
  <c r="M64" i="11"/>
  <c r="O64" i="11"/>
  <c r="Q63" i="13"/>
  <c r="K64" i="11" l="1"/>
  <c r="M7" i="10"/>
  <c r="D70" i="10"/>
  <c r="N7" i="10"/>
  <c r="Z26" i="12"/>
  <c r="Y26" i="12"/>
  <c r="E26" i="12"/>
  <c r="F26" i="12" s="1"/>
  <c r="P26" i="12" l="1"/>
  <c r="J26" i="12"/>
  <c r="Z57" i="10"/>
  <c r="Z58" i="10"/>
  <c r="Q26" i="12" l="1"/>
  <c r="W26" i="12" s="1"/>
  <c r="L26" i="12"/>
  <c r="N26" i="12" s="1"/>
  <c r="I36" i="12" l="1"/>
  <c r="I37" i="12"/>
  <c r="D45" i="12" l="1"/>
  <c r="E45" i="12"/>
  <c r="Z25" i="12" l="1"/>
  <c r="Y25" i="12"/>
  <c r="I45" i="12" l="1"/>
  <c r="C63" i="11"/>
  <c r="H69" i="10"/>
  <c r="G69" i="10"/>
  <c r="B69" i="10"/>
  <c r="F45" i="12"/>
  <c r="J70" i="10" s="1"/>
  <c r="F25" i="12"/>
  <c r="P25" i="12" s="1"/>
  <c r="J25" i="12" l="1"/>
  <c r="J45" i="12"/>
  <c r="T63" i="11" s="1"/>
  <c r="C69" i="10"/>
  <c r="S63" i="11"/>
  <c r="P45" i="12"/>
  <c r="Q25" i="12" l="1"/>
  <c r="W25" i="12" s="1"/>
  <c r="L25" i="12"/>
  <c r="N25" i="12" s="1"/>
  <c r="L45" i="12"/>
  <c r="N45" i="12" s="1"/>
  <c r="M70" i="10" s="1"/>
  <c r="Q45" i="12"/>
  <c r="W45" i="12" s="1"/>
  <c r="P70" i="10" s="1"/>
  <c r="D63" i="11" l="1"/>
  <c r="D69" i="10"/>
  <c r="C14" i="15" l="1"/>
  <c r="C21" i="15"/>
  <c r="C20" i="15" s="1"/>
  <c r="C19" i="15"/>
  <c r="I59" i="14"/>
  <c r="F59" i="14"/>
  <c r="O59" i="14"/>
  <c r="M59" i="14"/>
  <c r="G62" i="13"/>
  <c r="E62" i="13"/>
  <c r="K62" i="13"/>
  <c r="O62" i="13"/>
  <c r="P63" i="11" l="1"/>
  <c r="B63" i="11"/>
  <c r="R25" i="12"/>
  <c r="X25" i="12" s="1"/>
  <c r="R45" i="12"/>
  <c r="X45" i="12" s="1"/>
  <c r="R62" i="13"/>
  <c r="U63" i="13" s="1"/>
  <c r="Q59" i="14"/>
  <c r="P59" i="14"/>
  <c r="N59" i="14"/>
  <c r="N62" i="13"/>
  <c r="T63" i="13" s="1"/>
  <c r="P62" i="13" l="1"/>
  <c r="V63" i="13" s="1"/>
  <c r="R63" i="11" l="1"/>
  <c r="Q63" i="11"/>
  <c r="Q62" i="13"/>
  <c r="Z45" i="12" l="1"/>
  <c r="Y45" i="12"/>
  <c r="V70" i="10" s="1"/>
  <c r="Y70" i="10" l="1"/>
  <c r="I64" i="11"/>
  <c r="N63" i="11"/>
  <c r="O63" i="11"/>
  <c r="M63" i="11"/>
  <c r="I44" i="12"/>
  <c r="E44" i="12"/>
  <c r="D15" i="15" l="1"/>
  <c r="E15" i="15"/>
  <c r="E19" i="15" s="1"/>
  <c r="E14" i="15"/>
  <c r="P62" i="11"/>
  <c r="H68" i="10"/>
  <c r="G68" i="10"/>
  <c r="F68" i="10" s="1"/>
  <c r="G61" i="13"/>
  <c r="S62" i="13" s="1"/>
  <c r="E61" i="13"/>
  <c r="O61" i="13"/>
  <c r="K61" i="13"/>
  <c r="M58" i="14"/>
  <c r="I58" i="14"/>
  <c r="F58" i="14"/>
  <c r="O58" i="14" s="1"/>
  <c r="D44" i="12"/>
  <c r="C44" i="12"/>
  <c r="C62" i="11" s="1"/>
  <c r="E24" i="12"/>
  <c r="Q58" i="14" l="1"/>
  <c r="S69" i="10"/>
  <c r="E63" i="11"/>
  <c r="F63" i="11" s="1"/>
  <c r="N61" i="13"/>
  <c r="T62" i="13" s="1"/>
  <c r="G63" i="11" s="1"/>
  <c r="B62" i="11"/>
  <c r="E21" i="15"/>
  <c r="N58" i="14"/>
  <c r="B68" i="10"/>
  <c r="P61" i="13"/>
  <c r="R61" i="13"/>
  <c r="P58" i="14"/>
  <c r="Z24" i="12"/>
  <c r="Y24" i="12"/>
  <c r="R24" i="12"/>
  <c r="X24" i="12" s="1"/>
  <c r="F24" i="12"/>
  <c r="Z44" i="12"/>
  <c r="Y44" i="12"/>
  <c r="V69" i="10" s="1"/>
  <c r="R44" i="12"/>
  <c r="X44" i="12" s="1"/>
  <c r="F44" i="12"/>
  <c r="J69" i="10" s="1"/>
  <c r="U62" i="13" l="1"/>
  <c r="H63" i="11"/>
  <c r="V62" i="13"/>
  <c r="K63" i="11" s="1"/>
  <c r="Q62" i="11"/>
  <c r="R62" i="11"/>
  <c r="Y69" i="10"/>
  <c r="I63" i="11"/>
  <c r="E13" i="15"/>
  <c r="E20" i="15"/>
  <c r="N62" i="11"/>
  <c r="X68" i="10"/>
  <c r="S62" i="11"/>
  <c r="C68" i="10"/>
  <c r="Q61" i="13"/>
  <c r="L63" i="11" s="1"/>
  <c r="J24" i="12"/>
  <c r="P24" i="12"/>
  <c r="P44" i="12"/>
  <c r="J44" i="12"/>
  <c r="T62" i="11" s="1"/>
  <c r="L24" i="12" l="1"/>
  <c r="N24" i="12" s="1"/>
  <c r="Q24" i="12"/>
  <c r="W24" i="12" s="1"/>
  <c r="L44" i="12"/>
  <c r="N44" i="12" s="1"/>
  <c r="M69" i="10" s="1"/>
  <c r="Q44" i="12"/>
  <c r="W44" i="12" s="1"/>
  <c r="P69" i="10" s="1"/>
  <c r="F21" i="15"/>
  <c r="F20" i="15" s="1"/>
  <c r="F15" i="15"/>
  <c r="F19" i="15" s="1"/>
  <c r="F14" i="15"/>
  <c r="C61" i="11"/>
  <c r="H67" i="10"/>
  <c r="G67" i="10"/>
  <c r="F67" i="10" s="1"/>
  <c r="B67" i="10"/>
  <c r="O60" i="13"/>
  <c r="J60" i="13"/>
  <c r="K60" i="13" s="1"/>
  <c r="G60" i="13"/>
  <c r="S61" i="13" s="1"/>
  <c r="E60" i="13"/>
  <c r="O57" i="14"/>
  <c r="N57" i="14"/>
  <c r="I43" i="12"/>
  <c r="D43" i="12"/>
  <c r="R43" i="12"/>
  <c r="X43" i="12" s="1"/>
  <c r="Z43" i="12"/>
  <c r="J64" i="11" s="1"/>
  <c r="Y43" i="12"/>
  <c r="V68" i="10" s="1"/>
  <c r="E43" i="12"/>
  <c r="F43" i="12" s="1"/>
  <c r="J68" i="10" s="1"/>
  <c r="Z23" i="12"/>
  <c r="Y23" i="12"/>
  <c r="E23" i="12"/>
  <c r="F23" i="12" s="1"/>
  <c r="F13" i="15" l="1"/>
  <c r="P61" i="11"/>
  <c r="B61" i="11"/>
  <c r="R60" i="13"/>
  <c r="E62" i="11"/>
  <c r="N60" i="13"/>
  <c r="Q57" i="14"/>
  <c r="S68" i="10"/>
  <c r="J23" i="12"/>
  <c r="P23" i="12"/>
  <c r="C67" i="10"/>
  <c r="N61" i="11"/>
  <c r="Y68" i="10"/>
  <c r="I62" i="11"/>
  <c r="AA67" i="10"/>
  <c r="S61" i="11"/>
  <c r="X67" i="10"/>
  <c r="O62" i="11"/>
  <c r="M62" i="11"/>
  <c r="D62" i="11"/>
  <c r="D68" i="10"/>
  <c r="R23" i="12"/>
  <c r="X23" i="12" s="1"/>
  <c r="P57" i="14"/>
  <c r="J43" i="12"/>
  <c r="L43" i="12" s="1"/>
  <c r="N43" i="12" s="1"/>
  <c r="P43" i="12"/>
  <c r="T47" i="11"/>
  <c r="S47" i="11"/>
  <c r="T46" i="11"/>
  <c r="S46" i="11"/>
  <c r="T45" i="11"/>
  <c r="S45" i="11"/>
  <c r="O47" i="11"/>
  <c r="N47" i="11"/>
  <c r="M47" i="11"/>
  <c r="O46" i="11"/>
  <c r="N46" i="11"/>
  <c r="M46" i="11"/>
  <c r="O45" i="11"/>
  <c r="N45" i="11"/>
  <c r="M45" i="11"/>
  <c r="J13" i="11"/>
  <c r="J14" i="11"/>
  <c r="J15" i="11"/>
  <c r="J16" i="11"/>
  <c r="J17" i="11"/>
  <c r="J18" i="11"/>
  <c r="J19" i="11"/>
  <c r="J20" i="11"/>
  <c r="J21" i="11"/>
  <c r="I11" i="11"/>
  <c r="I12" i="11"/>
  <c r="I13" i="11"/>
  <c r="I14" i="11"/>
  <c r="I15" i="11"/>
  <c r="I16" i="11"/>
  <c r="I17" i="11"/>
  <c r="I18" i="11"/>
  <c r="I19" i="11"/>
  <c r="I20" i="11"/>
  <c r="I21" i="11"/>
  <c r="J22" i="11"/>
  <c r="I22" i="11"/>
  <c r="J23" i="11"/>
  <c r="I23" i="11"/>
  <c r="J24" i="11"/>
  <c r="I24" i="11"/>
  <c r="J25" i="11"/>
  <c r="I25" i="11"/>
  <c r="J26" i="11"/>
  <c r="I26" i="11"/>
  <c r="J27" i="11"/>
  <c r="I27" i="11"/>
  <c r="J28" i="11"/>
  <c r="I28" i="11"/>
  <c r="J29" i="11"/>
  <c r="I29" i="11"/>
  <c r="J30" i="11"/>
  <c r="I30" i="11"/>
  <c r="J31" i="11"/>
  <c r="I31" i="11"/>
  <c r="J32" i="11"/>
  <c r="I32" i="11"/>
  <c r="J33" i="11"/>
  <c r="I33" i="11"/>
  <c r="J34" i="11"/>
  <c r="I34" i="11"/>
  <c r="J35" i="11"/>
  <c r="I35" i="11"/>
  <c r="J36" i="11"/>
  <c r="I36" i="11"/>
  <c r="J37" i="11"/>
  <c r="I37" i="11"/>
  <c r="J38" i="11"/>
  <c r="I38" i="11"/>
  <c r="J47" i="11"/>
  <c r="I47" i="11"/>
  <c r="J46" i="11"/>
  <c r="I46" i="11"/>
  <c r="J45" i="11"/>
  <c r="I45" i="11"/>
  <c r="J44" i="11"/>
  <c r="I44" i="11"/>
  <c r="J43" i="11"/>
  <c r="I43" i="11"/>
  <c r="J42" i="11"/>
  <c r="I42" i="11"/>
  <c r="J41" i="11"/>
  <c r="I41" i="11"/>
  <c r="J39" i="11"/>
  <c r="I39" i="11"/>
  <c r="D47" i="11"/>
  <c r="D46" i="11"/>
  <c r="D45" i="11"/>
  <c r="C47" i="11"/>
  <c r="C46" i="11"/>
  <c r="AA50" i="10"/>
  <c r="Z50" i="10"/>
  <c r="Y50" i="10"/>
  <c r="AA49" i="10"/>
  <c r="Z49" i="10"/>
  <c r="Y49" i="10"/>
  <c r="AA48" i="10"/>
  <c r="Z48" i="10"/>
  <c r="Y48" i="10"/>
  <c r="AA47" i="10"/>
  <c r="Z47" i="10"/>
  <c r="Y47" i="10"/>
  <c r="AA46" i="10"/>
  <c r="Z46" i="10"/>
  <c r="Y46" i="10"/>
  <c r="AA45" i="10"/>
  <c r="Z45" i="10"/>
  <c r="Y45" i="10"/>
  <c r="AA44" i="10"/>
  <c r="Z44" i="10"/>
  <c r="Y44" i="10"/>
  <c r="AA43" i="10"/>
  <c r="Z43" i="10"/>
  <c r="Y43" i="10"/>
  <c r="AA42" i="10"/>
  <c r="Z42" i="10"/>
  <c r="Y42" i="10"/>
  <c r="AA41" i="10"/>
  <c r="Z41" i="10"/>
  <c r="Y41" i="10"/>
  <c r="AA40" i="10"/>
  <c r="Z40" i="10"/>
  <c r="Y40" i="10"/>
  <c r="AA39" i="10"/>
  <c r="Z39" i="10"/>
  <c r="Y39" i="10"/>
  <c r="AA38" i="10"/>
  <c r="Z38" i="10"/>
  <c r="Y38" i="10"/>
  <c r="AA23" i="10"/>
  <c r="AA24" i="10"/>
  <c r="AA25" i="10"/>
  <c r="AA26" i="10"/>
  <c r="AA27" i="10"/>
  <c r="AA28" i="10"/>
  <c r="AA29" i="10"/>
  <c r="AA30" i="10"/>
  <c r="AA31" i="10"/>
  <c r="AA32" i="10"/>
  <c r="AA33" i="10"/>
  <c r="AA34" i="10"/>
  <c r="AA35" i="10"/>
  <c r="AA36" i="10"/>
  <c r="X51" i="10"/>
  <c r="W51" i="10"/>
  <c r="V51" i="10"/>
  <c r="X50" i="10"/>
  <c r="W50" i="10"/>
  <c r="V50" i="10"/>
  <c r="X49" i="10"/>
  <c r="W49" i="10"/>
  <c r="V49" i="10"/>
  <c r="X48" i="10"/>
  <c r="W48" i="10"/>
  <c r="V48" i="10"/>
  <c r="X47" i="10"/>
  <c r="W47" i="10"/>
  <c r="V47" i="10"/>
  <c r="X46" i="10"/>
  <c r="W46" i="10"/>
  <c r="V46" i="10"/>
  <c r="X45" i="10"/>
  <c r="W45" i="10"/>
  <c r="V45" i="10"/>
  <c r="X44" i="10"/>
  <c r="W44" i="10"/>
  <c r="V44" i="10"/>
  <c r="X43" i="10"/>
  <c r="W43" i="10"/>
  <c r="V43" i="10"/>
  <c r="X42" i="10"/>
  <c r="W42" i="10"/>
  <c r="V42" i="10"/>
  <c r="X41" i="10"/>
  <c r="W41" i="10"/>
  <c r="V41" i="10"/>
  <c r="X40" i="10"/>
  <c r="W40" i="10"/>
  <c r="V40" i="10"/>
  <c r="X39" i="10"/>
  <c r="W39" i="10"/>
  <c r="V39" i="10"/>
  <c r="X38" i="10"/>
  <c r="W38" i="10"/>
  <c r="V38" i="10"/>
  <c r="X23" i="10"/>
  <c r="X24" i="10"/>
  <c r="X25" i="10"/>
  <c r="X26" i="10"/>
  <c r="X27" i="10"/>
  <c r="X28" i="10"/>
  <c r="X29" i="10"/>
  <c r="X30" i="10"/>
  <c r="X31" i="10"/>
  <c r="X32" i="10"/>
  <c r="X33" i="10"/>
  <c r="X34" i="10"/>
  <c r="X35" i="10"/>
  <c r="X36" i="10"/>
  <c r="P50" i="10"/>
  <c r="P49" i="10"/>
  <c r="P48" i="10"/>
  <c r="R50" i="10"/>
  <c r="Q50" i="10"/>
  <c r="R49" i="10"/>
  <c r="Q49" i="10"/>
  <c r="R48" i="10"/>
  <c r="Q48" i="10"/>
  <c r="R47" i="10"/>
  <c r="Q47" i="10"/>
  <c r="R46" i="10"/>
  <c r="Q46" i="10"/>
  <c r="R45" i="10"/>
  <c r="Q45" i="10"/>
  <c r="R44" i="10"/>
  <c r="Q44" i="10"/>
  <c r="R43" i="10"/>
  <c r="Q43" i="10"/>
  <c r="R42" i="10"/>
  <c r="Q42" i="10"/>
  <c r="R41" i="10"/>
  <c r="Q41" i="10"/>
  <c r="R40" i="10"/>
  <c r="Q40" i="10"/>
  <c r="R39" i="10"/>
  <c r="Q39" i="10"/>
  <c r="R38" i="10"/>
  <c r="Q38" i="10"/>
  <c r="R23" i="10"/>
  <c r="R24" i="10"/>
  <c r="R25" i="10"/>
  <c r="R26" i="10"/>
  <c r="R27" i="10"/>
  <c r="R28" i="10"/>
  <c r="R29" i="10"/>
  <c r="R30" i="10"/>
  <c r="R31" i="10"/>
  <c r="R32" i="10"/>
  <c r="R33" i="10"/>
  <c r="R34" i="10"/>
  <c r="R35" i="10"/>
  <c r="R36" i="10"/>
  <c r="O50" i="10"/>
  <c r="N50" i="10"/>
  <c r="M50" i="10"/>
  <c r="O49" i="10"/>
  <c r="N49" i="10"/>
  <c r="M49" i="10"/>
  <c r="O48" i="10"/>
  <c r="N48" i="10"/>
  <c r="M48" i="10"/>
  <c r="O47" i="10"/>
  <c r="N47" i="10"/>
  <c r="M47" i="10"/>
  <c r="O46" i="10"/>
  <c r="N46" i="10"/>
  <c r="M46" i="10"/>
  <c r="O45" i="10"/>
  <c r="N45" i="10"/>
  <c r="M45" i="10"/>
  <c r="O44" i="10"/>
  <c r="N44" i="10"/>
  <c r="M44" i="10"/>
  <c r="O43" i="10"/>
  <c r="N43" i="10"/>
  <c r="M43" i="10"/>
  <c r="O42" i="10"/>
  <c r="N42" i="10"/>
  <c r="M42" i="10"/>
  <c r="O41" i="10"/>
  <c r="N41" i="10"/>
  <c r="M41" i="10"/>
  <c r="O40" i="10"/>
  <c r="N40" i="10"/>
  <c r="M40" i="10"/>
  <c r="O39" i="10"/>
  <c r="N39" i="10"/>
  <c r="M39" i="10"/>
  <c r="O38" i="10"/>
  <c r="N38" i="10"/>
  <c r="M38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50" i="10"/>
  <c r="K50" i="10"/>
  <c r="J50" i="10"/>
  <c r="L49" i="10"/>
  <c r="K49" i="10"/>
  <c r="J49" i="10"/>
  <c r="L48" i="10"/>
  <c r="K48" i="10"/>
  <c r="J48" i="10"/>
  <c r="I52" i="10"/>
  <c r="H52" i="10"/>
  <c r="I50" i="10"/>
  <c r="H50" i="10"/>
  <c r="G50" i="10"/>
  <c r="I49" i="10"/>
  <c r="H49" i="10"/>
  <c r="G49" i="10"/>
  <c r="I48" i="10"/>
  <c r="H48" i="10"/>
  <c r="G48" i="10"/>
  <c r="I47" i="10"/>
  <c r="H47" i="10"/>
  <c r="G47" i="10"/>
  <c r="I46" i="10"/>
  <c r="H46" i="10"/>
  <c r="G46" i="10"/>
  <c r="I45" i="10"/>
  <c r="H45" i="10"/>
  <c r="G45" i="10"/>
  <c r="I44" i="10"/>
  <c r="H44" i="10"/>
  <c r="G44" i="10"/>
  <c r="I43" i="10"/>
  <c r="H43" i="10"/>
  <c r="G43" i="10"/>
  <c r="I42" i="10"/>
  <c r="H42" i="10"/>
  <c r="G42" i="10"/>
  <c r="I41" i="10"/>
  <c r="H41" i="10"/>
  <c r="G41" i="10"/>
  <c r="I40" i="10"/>
  <c r="H40" i="10"/>
  <c r="G40" i="10"/>
  <c r="I39" i="10"/>
  <c r="H39" i="10"/>
  <c r="G39" i="10"/>
  <c r="I38" i="10"/>
  <c r="H38" i="10"/>
  <c r="G38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B52" i="10"/>
  <c r="B50" i="10"/>
  <c r="B49" i="10"/>
  <c r="F62" i="11" l="1"/>
  <c r="P60" i="13"/>
  <c r="T61" i="13"/>
  <c r="G62" i="11" s="1"/>
  <c r="U61" i="13"/>
  <c r="D61" i="11"/>
  <c r="D67" i="10"/>
  <c r="L23" i="12"/>
  <c r="N23" i="12" s="1"/>
  <c r="Q23" i="12"/>
  <c r="W23" i="12" s="1"/>
  <c r="M68" i="10"/>
  <c r="T61" i="11"/>
  <c r="Q43" i="12"/>
  <c r="W43" i="12" s="1"/>
  <c r="D14" i="15"/>
  <c r="G15" i="15"/>
  <c r="H15" i="15"/>
  <c r="H62" i="11" l="1"/>
  <c r="Q60" i="13"/>
  <c r="L62" i="11" s="1"/>
  <c r="V61" i="13"/>
  <c r="K62" i="11" s="1"/>
  <c r="R61" i="11"/>
  <c r="Q61" i="11"/>
  <c r="M61" i="11"/>
  <c r="P68" i="10"/>
  <c r="O61" i="11"/>
  <c r="AA37" i="10"/>
  <c r="Z37" i="10"/>
  <c r="Y37" i="10"/>
  <c r="X37" i="10"/>
  <c r="W37" i="10"/>
  <c r="V37" i="10"/>
  <c r="R37" i="10"/>
  <c r="Q37" i="10"/>
  <c r="O37" i="10"/>
  <c r="N37" i="10"/>
  <c r="M37" i="10"/>
  <c r="I37" i="10"/>
  <c r="H37" i="10"/>
  <c r="G37" i="10"/>
  <c r="D37" i="10"/>
  <c r="C37" i="10"/>
  <c r="H61" i="10" l="1"/>
  <c r="O42" i="12"/>
  <c r="O44" i="11" l="1"/>
  <c r="N44" i="11"/>
  <c r="M44" i="11"/>
  <c r="T44" i="11"/>
  <c r="D44" i="11"/>
  <c r="J40" i="11"/>
  <c r="I40" i="11"/>
  <c r="L44" i="10"/>
  <c r="L43" i="10"/>
  <c r="F44" i="10"/>
  <c r="F43" i="10"/>
  <c r="I42" i="12" l="1"/>
  <c r="I41" i="12"/>
  <c r="I40" i="12"/>
  <c r="I38" i="12"/>
  <c r="E40" i="12" l="1"/>
  <c r="C40" i="12"/>
  <c r="E42" i="12"/>
  <c r="E38" i="12"/>
  <c r="D38" i="12"/>
  <c r="G21" i="15" l="1"/>
  <c r="G20" i="15" s="1"/>
  <c r="G19" i="15"/>
  <c r="G14" i="15"/>
  <c r="C60" i="11"/>
  <c r="G66" i="10"/>
  <c r="F66" i="10" s="1"/>
  <c r="B66" i="10"/>
  <c r="O59" i="13"/>
  <c r="K59" i="13"/>
  <c r="R59" i="13" s="1"/>
  <c r="G59" i="13"/>
  <c r="S60" i="13" s="1"/>
  <c r="E59" i="13"/>
  <c r="O56" i="14"/>
  <c r="N56" i="14"/>
  <c r="Z42" i="12"/>
  <c r="J63" i="11" s="1"/>
  <c r="Y42" i="12"/>
  <c r="F42" i="12"/>
  <c r="J67" i="10" s="1"/>
  <c r="Z22" i="12"/>
  <c r="Y22" i="12"/>
  <c r="F22" i="12"/>
  <c r="J22" i="12" s="1"/>
  <c r="F21" i="12"/>
  <c r="U60" i="13" l="1"/>
  <c r="E61" i="11"/>
  <c r="F61" i="11" s="1"/>
  <c r="N59" i="13"/>
  <c r="B60" i="11"/>
  <c r="P60" i="11"/>
  <c r="P56" i="14"/>
  <c r="S67" i="10"/>
  <c r="R22" i="12"/>
  <c r="X22" i="12" s="1"/>
  <c r="Q56" i="14"/>
  <c r="R42" i="12"/>
  <c r="X42" i="12" s="1"/>
  <c r="I61" i="11"/>
  <c r="Y67" i="10"/>
  <c r="V67" i="10"/>
  <c r="G13" i="15"/>
  <c r="N60" i="11"/>
  <c r="X66" i="10"/>
  <c r="AA66" i="10"/>
  <c r="C66" i="10"/>
  <c r="S60" i="11"/>
  <c r="Q22" i="12"/>
  <c r="W22" i="12" s="1"/>
  <c r="L22" i="12"/>
  <c r="N22" i="12" s="1"/>
  <c r="P22" i="12"/>
  <c r="J42" i="12"/>
  <c r="T60" i="11" s="1"/>
  <c r="P42" i="12"/>
  <c r="T60" i="13" l="1"/>
  <c r="G61" i="11" s="1"/>
  <c r="H61" i="11" s="1"/>
  <c r="P59" i="13"/>
  <c r="Q42" i="12"/>
  <c r="W42" i="12" s="1"/>
  <c r="P67" i="10" s="1"/>
  <c r="L42" i="12"/>
  <c r="N42" i="12" s="1"/>
  <c r="H21" i="15"/>
  <c r="H20" i="15" s="1"/>
  <c r="H19" i="15"/>
  <c r="H14" i="15"/>
  <c r="C59" i="11"/>
  <c r="G65" i="10"/>
  <c r="F65" i="10" s="1"/>
  <c r="B65" i="10"/>
  <c r="E58" i="13"/>
  <c r="G58" i="13" s="1"/>
  <c r="S59" i="13" s="1"/>
  <c r="O58" i="13"/>
  <c r="K58" i="13"/>
  <c r="M55" i="14"/>
  <c r="O55" i="14"/>
  <c r="S66" i="10" s="1"/>
  <c r="Z41" i="12"/>
  <c r="Z70" i="10" s="1"/>
  <c r="Y41" i="12"/>
  <c r="W70" i="10" s="1"/>
  <c r="F41" i="12"/>
  <c r="Z21" i="12"/>
  <c r="Y21" i="12"/>
  <c r="J21" i="12"/>
  <c r="I15" i="15"/>
  <c r="I19" i="15" s="1"/>
  <c r="I14" i="15"/>
  <c r="G64" i="10"/>
  <c r="F64" i="10" s="1"/>
  <c r="B64" i="10"/>
  <c r="E57" i="13"/>
  <c r="O57" i="13"/>
  <c r="K57" i="13"/>
  <c r="M54" i="14"/>
  <c r="N54" i="14" s="1"/>
  <c r="O54" i="14"/>
  <c r="F40" i="12"/>
  <c r="K69" i="10" s="1"/>
  <c r="C58" i="11"/>
  <c r="Z40" i="12"/>
  <c r="Z69" i="10" s="1"/>
  <c r="Y40" i="12"/>
  <c r="W69" i="10" s="1"/>
  <c r="F20" i="12"/>
  <c r="Z20" i="12"/>
  <c r="Y20" i="12"/>
  <c r="J14" i="15"/>
  <c r="J15" i="15"/>
  <c r="J19" i="15" s="1"/>
  <c r="W58" i="10"/>
  <c r="W57" i="10"/>
  <c r="P47" i="10"/>
  <c r="K47" i="10"/>
  <c r="J47" i="10"/>
  <c r="L47" i="10"/>
  <c r="F47" i="10"/>
  <c r="L46" i="10"/>
  <c r="F46" i="10"/>
  <c r="L45" i="10"/>
  <c r="C57" i="11"/>
  <c r="G63" i="10"/>
  <c r="F63" i="10" s="1"/>
  <c r="B63" i="10"/>
  <c r="M56" i="13"/>
  <c r="J56" i="13"/>
  <c r="E56" i="13"/>
  <c r="B57" i="11" s="1"/>
  <c r="O56" i="13"/>
  <c r="K56" i="13"/>
  <c r="O53" i="14"/>
  <c r="N53" i="14"/>
  <c r="F39" i="12"/>
  <c r="Z39" i="12"/>
  <c r="Z68" i="10" s="1"/>
  <c r="Y39" i="12"/>
  <c r="W68" i="10" s="1"/>
  <c r="Z19" i="12"/>
  <c r="Y19" i="12"/>
  <c r="F19" i="12"/>
  <c r="J19" i="12" s="1"/>
  <c r="Q19" i="12" s="1"/>
  <c r="W19" i="12" s="1"/>
  <c r="K21" i="15"/>
  <c r="K20" i="15" s="1"/>
  <c r="K19" i="15"/>
  <c r="K14" i="15"/>
  <c r="C56" i="11"/>
  <c r="B62" i="10"/>
  <c r="E55" i="13"/>
  <c r="G55" i="13" s="1"/>
  <c r="O55" i="13"/>
  <c r="K55" i="13"/>
  <c r="I52" i="14"/>
  <c r="F52" i="14"/>
  <c r="F38" i="12"/>
  <c r="Z38" i="12"/>
  <c r="Z67" i="10" s="1"/>
  <c r="Y38" i="12"/>
  <c r="F18" i="12"/>
  <c r="P18" i="12" s="1"/>
  <c r="Z18" i="12"/>
  <c r="Y18" i="12"/>
  <c r="E37" i="12"/>
  <c r="E36" i="12"/>
  <c r="E35" i="12"/>
  <c r="E34" i="12"/>
  <c r="E33" i="12"/>
  <c r="F33" i="12" s="1"/>
  <c r="E17" i="12"/>
  <c r="F17" i="12" s="1"/>
  <c r="J17" i="12" s="1"/>
  <c r="Q17" i="12" s="1"/>
  <c r="W17" i="12" s="1"/>
  <c r="E16" i="12"/>
  <c r="F16" i="12" s="1"/>
  <c r="E15" i="12"/>
  <c r="F15" i="12" s="1"/>
  <c r="J15" i="12" s="1"/>
  <c r="E14" i="12"/>
  <c r="F14" i="12" s="1"/>
  <c r="E13" i="12"/>
  <c r="F13" i="12" s="1"/>
  <c r="J13" i="12" s="1"/>
  <c r="L12" i="15"/>
  <c r="L15" i="15"/>
  <c r="L19" i="15" s="1"/>
  <c r="G61" i="10"/>
  <c r="F61" i="10" s="1"/>
  <c r="J54" i="13"/>
  <c r="K54" i="13" s="1"/>
  <c r="E54" i="13"/>
  <c r="G54" i="13" s="1"/>
  <c r="O54" i="13"/>
  <c r="O51" i="14"/>
  <c r="N51" i="14"/>
  <c r="D37" i="12"/>
  <c r="C37" i="12"/>
  <c r="C55" i="11" s="1"/>
  <c r="Z37" i="12"/>
  <c r="Y37" i="12"/>
  <c r="Z17" i="12"/>
  <c r="Y17" i="12"/>
  <c r="O14" i="12"/>
  <c r="O13" i="12"/>
  <c r="O12" i="12"/>
  <c r="O11" i="12"/>
  <c r="O34" i="12"/>
  <c r="O33" i="12"/>
  <c r="O32" i="12"/>
  <c r="O31" i="12"/>
  <c r="O36" i="12"/>
  <c r="O16" i="12"/>
  <c r="O35" i="12"/>
  <c r="O15" i="12"/>
  <c r="H49" i="16"/>
  <c r="I49" i="16" s="1"/>
  <c r="N49" i="16"/>
  <c r="H48" i="16"/>
  <c r="I48" i="16" s="1"/>
  <c r="N47" i="16"/>
  <c r="O47" i="16" s="1"/>
  <c r="N46" i="16"/>
  <c r="O46" i="16" s="1"/>
  <c r="N45" i="16"/>
  <c r="O45" i="16" s="1"/>
  <c r="N44" i="16"/>
  <c r="O44" i="16" s="1"/>
  <c r="N43" i="16"/>
  <c r="O43" i="16" s="1"/>
  <c r="N42" i="16"/>
  <c r="O42" i="16" s="1"/>
  <c r="N41" i="16"/>
  <c r="O41" i="16" s="1"/>
  <c r="N40" i="16"/>
  <c r="O40" i="16" s="1"/>
  <c r="N39" i="16"/>
  <c r="O39" i="16" s="1"/>
  <c r="N38" i="16"/>
  <c r="O38" i="16" s="1"/>
  <c r="N37" i="16"/>
  <c r="O37" i="16" s="1"/>
  <c r="N36" i="16"/>
  <c r="O36" i="16" s="1"/>
  <c r="N35" i="16"/>
  <c r="O35" i="16" s="1"/>
  <c r="N34" i="16"/>
  <c r="O34" i="16" s="1"/>
  <c r="N33" i="16"/>
  <c r="O33" i="16" s="1"/>
  <c r="N32" i="16"/>
  <c r="O32" i="16" s="1"/>
  <c r="N31" i="16"/>
  <c r="O31" i="16" s="1"/>
  <c r="C11" i="12"/>
  <c r="E11" i="12"/>
  <c r="I11" i="12"/>
  <c r="B11" i="12"/>
  <c r="I31" i="12"/>
  <c r="E31" i="12"/>
  <c r="C31" i="12"/>
  <c r="B31" i="12"/>
  <c r="H60" i="10" s="1"/>
  <c r="Y49" i="16"/>
  <c r="X49" i="16"/>
  <c r="Y48" i="16"/>
  <c r="B48" i="16"/>
  <c r="C45" i="16"/>
  <c r="J44" i="16"/>
  <c r="S44" i="11" s="1"/>
  <c r="H44" i="16"/>
  <c r="F44" i="16"/>
  <c r="C44" i="16"/>
  <c r="F43" i="16"/>
  <c r="C43" i="16"/>
  <c r="B46" i="10" s="1"/>
  <c r="C42" i="16"/>
  <c r="B45" i="10" s="1"/>
  <c r="C41" i="16"/>
  <c r="B44" i="10" s="1"/>
  <c r="C40" i="16"/>
  <c r="B43" i="10" s="1"/>
  <c r="C39" i="16"/>
  <c r="B42" i="10" s="1"/>
  <c r="C38" i="16"/>
  <c r="B41" i="10" s="1"/>
  <c r="C37" i="16"/>
  <c r="B40" i="10" s="1"/>
  <c r="C36" i="16"/>
  <c r="B39" i="10" s="1"/>
  <c r="C35" i="16"/>
  <c r="B38" i="10" s="1"/>
  <c r="C34" i="16"/>
  <c r="B37" i="10" s="1"/>
  <c r="C33" i="16"/>
  <c r="C32" i="16"/>
  <c r="C31" i="16"/>
  <c r="C30" i="16"/>
  <c r="I35" i="12"/>
  <c r="I34" i="12"/>
  <c r="D35" i="12"/>
  <c r="C34" i="12"/>
  <c r="C36" i="12"/>
  <c r="D36" i="12"/>
  <c r="N12" i="15"/>
  <c r="N14" i="15" s="1"/>
  <c r="M53" i="13"/>
  <c r="L53" i="13"/>
  <c r="J53" i="13"/>
  <c r="I53" i="13"/>
  <c r="H53" i="13"/>
  <c r="K53" i="13" s="1"/>
  <c r="F53" i="13"/>
  <c r="D53" i="13"/>
  <c r="C53" i="13"/>
  <c r="J52" i="13"/>
  <c r="K52" i="13" s="1"/>
  <c r="I52" i="13"/>
  <c r="H52" i="13"/>
  <c r="F52" i="13"/>
  <c r="D52" i="13"/>
  <c r="C53" i="11" s="1"/>
  <c r="C52" i="13"/>
  <c r="J51" i="13"/>
  <c r="I51" i="13"/>
  <c r="H51" i="13"/>
  <c r="K51" i="13" s="1"/>
  <c r="F51" i="13"/>
  <c r="D51" i="13"/>
  <c r="C51" i="13"/>
  <c r="E51" i="13"/>
  <c r="M12" i="15"/>
  <c r="Z36" i="12"/>
  <c r="Z35" i="12"/>
  <c r="Y36" i="12"/>
  <c r="Z34" i="12"/>
  <c r="AA58" i="10" s="1"/>
  <c r="Y35" i="12"/>
  <c r="X59" i="10" s="1"/>
  <c r="M51" i="13"/>
  <c r="M52" i="13"/>
  <c r="L52" i="13"/>
  <c r="L51" i="13"/>
  <c r="S14" i="15"/>
  <c r="T14" i="15"/>
  <c r="U14" i="15"/>
  <c r="V14" i="15"/>
  <c r="W14" i="15"/>
  <c r="X14" i="15"/>
  <c r="Y14" i="15"/>
  <c r="Z14" i="15"/>
  <c r="AA14" i="15"/>
  <c r="AB14" i="15"/>
  <c r="R14" i="15"/>
  <c r="U20" i="15"/>
  <c r="U13" i="15" s="1"/>
  <c r="V20" i="15"/>
  <c r="X20" i="15"/>
  <c r="X13" i="15" s="1"/>
  <c r="Y20" i="15"/>
  <c r="Z20" i="15"/>
  <c r="AA20" i="15"/>
  <c r="AA19" i="15" s="1"/>
  <c r="AB20" i="15"/>
  <c r="D21" i="15"/>
  <c r="Y34" i="12"/>
  <c r="X58" i="10" s="1"/>
  <c r="Y33" i="12"/>
  <c r="X57" i="10" s="1"/>
  <c r="Z32" i="12"/>
  <c r="AA56" i="10" s="1"/>
  <c r="Z33" i="12"/>
  <c r="AA57" i="10" s="1"/>
  <c r="O51" i="13"/>
  <c r="O52" i="13"/>
  <c r="F32" i="12"/>
  <c r="Z31" i="12"/>
  <c r="Y31" i="12"/>
  <c r="Y32" i="12"/>
  <c r="X56" i="10" s="1"/>
  <c r="G57" i="10"/>
  <c r="G58" i="10"/>
  <c r="G59" i="10"/>
  <c r="F59" i="10" s="1"/>
  <c r="G60" i="10"/>
  <c r="F60" i="10" s="1"/>
  <c r="B56" i="10"/>
  <c r="B57" i="10"/>
  <c r="B59" i="10"/>
  <c r="F12" i="12"/>
  <c r="J12" i="12" s="1"/>
  <c r="Y11" i="12"/>
  <c r="Z11" i="12"/>
  <c r="Y12" i="12"/>
  <c r="Z12" i="12"/>
  <c r="Y13" i="12"/>
  <c r="Z13" i="12"/>
  <c r="Y14" i="12"/>
  <c r="Z14" i="12"/>
  <c r="Y15" i="12"/>
  <c r="Z15" i="12"/>
  <c r="Y16" i="12"/>
  <c r="Z16" i="12"/>
  <c r="N15" i="15"/>
  <c r="N19" i="15"/>
  <c r="M15" i="15"/>
  <c r="U31" i="15"/>
  <c r="U30" i="15" s="1"/>
  <c r="V31" i="15"/>
  <c r="V30" i="15" s="1"/>
  <c r="D19" i="15"/>
  <c r="M48" i="13"/>
  <c r="E48" i="13"/>
  <c r="J48" i="13"/>
  <c r="K48" i="13"/>
  <c r="D47" i="13"/>
  <c r="C49" i="11" s="1"/>
  <c r="O53" i="13"/>
  <c r="O46" i="14"/>
  <c r="Q46" i="16" s="1"/>
  <c r="E41" i="14"/>
  <c r="O41" i="14" s="1"/>
  <c r="F41" i="14"/>
  <c r="E36" i="14"/>
  <c r="F36" i="14"/>
  <c r="O47" i="14"/>
  <c r="Q47" i="16" s="1"/>
  <c r="W47" i="16" s="1"/>
  <c r="E42" i="14"/>
  <c r="O42" i="14" s="1"/>
  <c r="E37" i="14"/>
  <c r="O37" i="14" s="1"/>
  <c r="C48" i="14"/>
  <c r="D48" i="14"/>
  <c r="E43" i="14"/>
  <c r="F43" i="14"/>
  <c r="E38" i="14"/>
  <c r="E49" i="14"/>
  <c r="F49" i="14"/>
  <c r="O44" i="14"/>
  <c r="Q44" i="16" s="1"/>
  <c r="E39" i="14"/>
  <c r="F39" i="14"/>
  <c r="E50" i="14"/>
  <c r="F50" i="14"/>
  <c r="O45" i="14"/>
  <c r="E40" i="14"/>
  <c r="F40" i="14"/>
  <c r="E35" i="14"/>
  <c r="F35" i="14"/>
  <c r="O35" i="14" s="1"/>
  <c r="U55" i="10" s="1"/>
  <c r="S57" i="10"/>
  <c r="M50" i="14"/>
  <c r="K50" i="14"/>
  <c r="J50" i="14"/>
  <c r="I50" i="14"/>
  <c r="I49" i="14"/>
  <c r="O37" i="13"/>
  <c r="O36" i="13"/>
  <c r="O35" i="13"/>
  <c r="O34" i="13"/>
  <c r="O33" i="13"/>
  <c r="O32" i="13"/>
  <c r="O31" i="13"/>
  <c r="O30" i="13"/>
  <c r="O29" i="13"/>
  <c r="O28" i="13"/>
  <c r="I27" i="13"/>
  <c r="O27" i="13"/>
  <c r="I26" i="13"/>
  <c r="I25" i="13"/>
  <c r="O25" i="13"/>
  <c r="I24" i="13"/>
  <c r="I23" i="13"/>
  <c r="O23" i="13"/>
  <c r="I22" i="13"/>
  <c r="O21" i="13"/>
  <c r="I20" i="13"/>
  <c r="O20" i="13" s="1"/>
  <c r="O19" i="13"/>
  <c r="O18" i="13"/>
  <c r="I17" i="13"/>
  <c r="O17" i="13" s="1"/>
  <c r="I16" i="13"/>
  <c r="O16" i="13" s="1"/>
  <c r="O15" i="13"/>
  <c r="O14" i="13"/>
  <c r="O13" i="13"/>
  <c r="O12" i="13"/>
  <c r="O11" i="13"/>
  <c r="O10" i="13"/>
  <c r="O9" i="13"/>
  <c r="O48" i="13"/>
  <c r="B47" i="13"/>
  <c r="O46" i="13"/>
  <c r="O45" i="13"/>
  <c r="O44" i="13"/>
  <c r="O43" i="13"/>
  <c r="O42" i="13"/>
  <c r="O41" i="13"/>
  <c r="O40" i="13"/>
  <c r="O39" i="13"/>
  <c r="O38" i="13"/>
  <c r="M49" i="14"/>
  <c r="R15" i="15"/>
  <c r="R20" i="15" s="1"/>
  <c r="AC20" i="15" s="1"/>
  <c r="AB31" i="15"/>
  <c r="AC28" i="15"/>
  <c r="AB18" i="15"/>
  <c r="AC16" i="15"/>
  <c r="AC12" i="15"/>
  <c r="C47" i="13"/>
  <c r="K49" i="14"/>
  <c r="J49" i="14"/>
  <c r="F48" i="10"/>
  <c r="F49" i="10"/>
  <c r="F50" i="10"/>
  <c r="O11" i="14"/>
  <c r="U24" i="10" s="1"/>
  <c r="U23" i="10"/>
  <c r="E34" i="14"/>
  <c r="O34" i="14" s="1"/>
  <c r="E33" i="14"/>
  <c r="F33" i="14"/>
  <c r="E32" i="14"/>
  <c r="F32" i="14"/>
  <c r="E31" i="14"/>
  <c r="O31" i="14" s="1"/>
  <c r="F31" i="14"/>
  <c r="U33" i="10"/>
  <c r="U32" i="10"/>
  <c r="U31" i="10"/>
  <c r="U30" i="10"/>
  <c r="U29" i="10"/>
  <c r="U28" i="10"/>
  <c r="U27" i="10"/>
  <c r="T27" i="10"/>
  <c r="T26" i="10"/>
  <c r="T25" i="10"/>
  <c r="T24" i="10"/>
  <c r="T23" i="10"/>
  <c r="T22" i="10"/>
  <c r="T31" i="10"/>
  <c r="T30" i="10"/>
  <c r="T29" i="10"/>
  <c r="T28" i="10"/>
  <c r="T33" i="10"/>
  <c r="T32" i="10"/>
  <c r="I48" i="14"/>
  <c r="S17" i="15"/>
  <c r="S15" i="15"/>
  <c r="S18" i="15" s="1"/>
  <c r="M46" i="13"/>
  <c r="R46" i="13"/>
  <c r="J48" i="14"/>
  <c r="T15" i="15"/>
  <c r="T20" i="15"/>
  <c r="T19" i="15" s="1"/>
  <c r="T18" i="15"/>
  <c r="M9" i="13"/>
  <c r="P9" i="13" s="1"/>
  <c r="M10" i="13"/>
  <c r="P10" i="13"/>
  <c r="M11" i="13"/>
  <c r="P11" i="13" s="1"/>
  <c r="M12" i="13"/>
  <c r="P12" i="13" s="1"/>
  <c r="R13" i="11" s="1"/>
  <c r="M13" i="13"/>
  <c r="P13" i="13"/>
  <c r="M14" i="13"/>
  <c r="P14" i="13" s="1"/>
  <c r="M15" i="13"/>
  <c r="P15" i="13" s="1"/>
  <c r="M16" i="13"/>
  <c r="M17" i="13"/>
  <c r="P17" i="13" s="1"/>
  <c r="Q17" i="13" s="1"/>
  <c r="M18" i="13"/>
  <c r="P18" i="13"/>
  <c r="M19" i="13"/>
  <c r="P19" i="13" s="1"/>
  <c r="M20" i="13"/>
  <c r="P20" i="13" s="1"/>
  <c r="R21" i="11" s="1"/>
  <c r="M21" i="13"/>
  <c r="P21" i="13"/>
  <c r="M22" i="13"/>
  <c r="P22" i="13" s="1"/>
  <c r="M23" i="13"/>
  <c r="P23" i="13" s="1"/>
  <c r="M24" i="13"/>
  <c r="M25" i="13"/>
  <c r="P25" i="13" s="1"/>
  <c r="M26" i="13"/>
  <c r="P26" i="13"/>
  <c r="V26" i="13" s="1"/>
  <c r="K27" i="11" s="1"/>
  <c r="M27" i="13"/>
  <c r="P27" i="13" s="1"/>
  <c r="M28" i="13"/>
  <c r="P28" i="13" s="1"/>
  <c r="R29" i="11" s="1"/>
  <c r="M29" i="13"/>
  <c r="P29" i="13"/>
  <c r="Q30" i="11" s="1"/>
  <c r="M30" i="13"/>
  <c r="P30" i="13" s="1"/>
  <c r="M31" i="13"/>
  <c r="P31" i="13" s="1"/>
  <c r="M32" i="13"/>
  <c r="M33" i="13"/>
  <c r="P33" i="13"/>
  <c r="M34" i="13"/>
  <c r="M35" i="13"/>
  <c r="P35" i="13" s="1"/>
  <c r="M36" i="13"/>
  <c r="P36" i="13" s="1"/>
  <c r="R37" i="11" s="1"/>
  <c r="M37" i="13"/>
  <c r="M38" i="13"/>
  <c r="P38" i="13"/>
  <c r="R39" i="11" s="1"/>
  <c r="M39" i="13"/>
  <c r="M40" i="13"/>
  <c r="P40" i="13" s="1"/>
  <c r="M41" i="13"/>
  <c r="P41" i="13" s="1"/>
  <c r="M42" i="13"/>
  <c r="M43" i="13"/>
  <c r="P43" i="13" s="1"/>
  <c r="V44" i="13" s="1"/>
  <c r="K45" i="11" s="1"/>
  <c r="M44" i="13"/>
  <c r="P44" i="13"/>
  <c r="M45" i="13"/>
  <c r="P45" i="13" s="1"/>
  <c r="Q13" i="11"/>
  <c r="Q21" i="11"/>
  <c r="Q29" i="11"/>
  <c r="Q37" i="11"/>
  <c r="Q39" i="11"/>
  <c r="Q38" i="13"/>
  <c r="Q36" i="13"/>
  <c r="Q28" i="13"/>
  <c r="Q20" i="13"/>
  <c r="Q12" i="13"/>
  <c r="P8" i="13"/>
  <c r="R45" i="13"/>
  <c r="U46" i="13"/>
  <c r="T46" i="13"/>
  <c r="S46" i="13"/>
  <c r="E47" i="11" s="1"/>
  <c r="J46" i="13"/>
  <c r="R44" i="13"/>
  <c r="U45" i="13" s="1"/>
  <c r="T45" i="13"/>
  <c r="S45" i="13"/>
  <c r="E46" i="11" s="1"/>
  <c r="R12" i="13"/>
  <c r="R11" i="13"/>
  <c r="U11" i="13" s="1"/>
  <c r="R10" i="13"/>
  <c r="R9" i="13"/>
  <c r="R17" i="13"/>
  <c r="R16" i="13"/>
  <c r="U17" i="13" s="1"/>
  <c r="R15" i="13"/>
  <c r="R14" i="13"/>
  <c r="R13" i="13"/>
  <c r="R22" i="13"/>
  <c r="R21" i="13"/>
  <c r="R20" i="13"/>
  <c r="R19" i="13"/>
  <c r="R18" i="13"/>
  <c r="R27" i="13"/>
  <c r="R25" i="13"/>
  <c r="R24" i="13"/>
  <c r="U25" i="13" s="1"/>
  <c r="R23" i="13"/>
  <c r="R32" i="13"/>
  <c r="R31" i="13"/>
  <c r="R30" i="13"/>
  <c r="R29" i="13"/>
  <c r="R28" i="13"/>
  <c r="R37" i="13"/>
  <c r="R36" i="13"/>
  <c r="U37" i="13" s="1"/>
  <c r="R35" i="13"/>
  <c r="R34" i="13"/>
  <c r="R33" i="13"/>
  <c r="U34" i="13" s="1"/>
  <c r="R42" i="13"/>
  <c r="U42" i="13" s="1"/>
  <c r="R41" i="13"/>
  <c r="R40" i="13"/>
  <c r="R39" i="13"/>
  <c r="U40" i="13" s="1"/>
  <c r="R38" i="13"/>
  <c r="U39" i="13" s="1"/>
  <c r="R43" i="13"/>
  <c r="J12" i="13"/>
  <c r="J11" i="13"/>
  <c r="J10" i="13"/>
  <c r="J9" i="13"/>
  <c r="J17" i="13"/>
  <c r="J16" i="13"/>
  <c r="J15" i="13"/>
  <c r="J14" i="13"/>
  <c r="J13" i="13"/>
  <c r="J21" i="13"/>
  <c r="J20" i="13"/>
  <c r="J19" i="13"/>
  <c r="J18" i="13"/>
  <c r="J27" i="13"/>
  <c r="J25" i="13"/>
  <c r="J23" i="13"/>
  <c r="J32" i="13"/>
  <c r="J31" i="13"/>
  <c r="J30" i="13"/>
  <c r="J29" i="13"/>
  <c r="J28" i="13"/>
  <c r="J37" i="13"/>
  <c r="J36" i="13"/>
  <c r="J35" i="13"/>
  <c r="J34" i="13"/>
  <c r="J33" i="13"/>
  <c r="J38" i="13"/>
  <c r="J40" i="13"/>
  <c r="J39" i="13"/>
  <c r="J41" i="13"/>
  <c r="J42" i="13"/>
  <c r="J43" i="13"/>
  <c r="J44" i="13"/>
  <c r="T44" i="13"/>
  <c r="S44" i="13"/>
  <c r="E45" i="11" s="1"/>
  <c r="T43" i="13"/>
  <c r="S43" i="13"/>
  <c r="E44" i="11" s="1"/>
  <c r="U41" i="13"/>
  <c r="U35" i="13"/>
  <c r="U33" i="13"/>
  <c r="U32" i="13"/>
  <c r="U29" i="13"/>
  <c r="U28" i="13"/>
  <c r="U21" i="13"/>
  <c r="U20" i="13"/>
  <c r="U15" i="13"/>
  <c r="U14" i="13"/>
  <c r="U13" i="13"/>
  <c r="U12" i="13"/>
  <c r="U10" i="13"/>
  <c r="U9" i="13"/>
  <c r="T42" i="13"/>
  <c r="S42" i="13"/>
  <c r="T41" i="13"/>
  <c r="S41" i="13"/>
  <c r="T40" i="13"/>
  <c r="S40" i="13"/>
  <c r="T39" i="13"/>
  <c r="S39" i="13"/>
  <c r="T38" i="13"/>
  <c r="S38" i="13"/>
  <c r="C38" i="13"/>
  <c r="T37" i="13"/>
  <c r="S37" i="13"/>
  <c r="C37" i="13"/>
  <c r="T36" i="13"/>
  <c r="S36" i="13"/>
  <c r="C36" i="13"/>
  <c r="T35" i="13"/>
  <c r="S35" i="13"/>
  <c r="C35" i="13"/>
  <c r="T34" i="13"/>
  <c r="S34" i="13"/>
  <c r="C34" i="13"/>
  <c r="T33" i="13"/>
  <c r="S33" i="13"/>
  <c r="T32" i="13"/>
  <c r="S32" i="13"/>
  <c r="T31" i="13"/>
  <c r="S31" i="13"/>
  <c r="T30" i="13"/>
  <c r="S30" i="13"/>
  <c r="T29" i="13"/>
  <c r="S29" i="13"/>
  <c r="T28" i="13"/>
  <c r="S28" i="13"/>
  <c r="T27" i="13"/>
  <c r="S27" i="13"/>
  <c r="T26" i="13"/>
  <c r="S26" i="13"/>
  <c r="T25" i="13"/>
  <c r="S25" i="13"/>
  <c r="T24" i="13"/>
  <c r="S24" i="13"/>
  <c r="T23" i="13"/>
  <c r="S23" i="13"/>
  <c r="T22" i="13"/>
  <c r="S22" i="13"/>
  <c r="T21" i="13"/>
  <c r="S21" i="13"/>
  <c r="T20" i="13"/>
  <c r="S20" i="13"/>
  <c r="T19" i="13"/>
  <c r="S19" i="13"/>
  <c r="T18" i="13"/>
  <c r="S18" i="13"/>
  <c r="T17" i="13"/>
  <c r="S17" i="13"/>
  <c r="T16" i="13"/>
  <c r="S16" i="13"/>
  <c r="T15" i="13"/>
  <c r="S15" i="13"/>
  <c r="T14" i="13"/>
  <c r="S14" i="13"/>
  <c r="T13" i="13"/>
  <c r="S13" i="13"/>
  <c r="T12" i="13"/>
  <c r="S12" i="13"/>
  <c r="T11" i="13"/>
  <c r="S11" i="13"/>
  <c r="T10" i="13"/>
  <c r="S10" i="13"/>
  <c r="T9" i="13"/>
  <c r="S9" i="13"/>
  <c r="Q47" i="14"/>
  <c r="P47" i="14"/>
  <c r="N47" i="14"/>
  <c r="N46" i="14"/>
  <c r="Q46" i="14"/>
  <c r="P46" i="14"/>
  <c r="J45" i="14"/>
  <c r="N45" i="14" s="1"/>
  <c r="Q45" i="14"/>
  <c r="K44" i="14"/>
  <c r="J44" i="14"/>
  <c r="J43" i="14"/>
  <c r="K43" i="14"/>
  <c r="K31" i="14"/>
  <c r="J31" i="14"/>
  <c r="I31" i="14"/>
  <c r="N31" i="14" s="1"/>
  <c r="K32" i="14"/>
  <c r="J32" i="14"/>
  <c r="I32" i="14"/>
  <c r="K33" i="14"/>
  <c r="J33" i="14"/>
  <c r="I33" i="14"/>
  <c r="J34" i="14"/>
  <c r="I34" i="14"/>
  <c r="N34" i="14" s="1"/>
  <c r="K35" i="14"/>
  <c r="J35" i="14"/>
  <c r="I35" i="14"/>
  <c r="J36" i="14"/>
  <c r="J37" i="14"/>
  <c r="N37" i="14" s="1"/>
  <c r="K38" i="14"/>
  <c r="J38" i="14"/>
  <c r="K39" i="14"/>
  <c r="J39" i="14"/>
  <c r="K40" i="14"/>
  <c r="J40" i="14"/>
  <c r="K41" i="14"/>
  <c r="J41" i="14"/>
  <c r="K42" i="14"/>
  <c r="J42" i="14"/>
  <c r="Q41" i="14"/>
  <c r="P35" i="14"/>
  <c r="Q30" i="14"/>
  <c r="P30" i="14"/>
  <c r="N30" i="14"/>
  <c r="Q29" i="14"/>
  <c r="P29" i="14"/>
  <c r="N29" i="14"/>
  <c r="Q28" i="14"/>
  <c r="P28" i="14"/>
  <c r="N28" i="14"/>
  <c r="Q27" i="14"/>
  <c r="P27" i="14"/>
  <c r="N27" i="14"/>
  <c r="Q26" i="14"/>
  <c r="P26" i="14"/>
  <c r="N26" i="14"/>
  <c r="Q25" i="14"/>
  <c r="P25" i="14"/>
  <c r="N25" i="14"/>
  <c r="Q24" i="14"/>
  <c r="P24" i="14"/>
  <c r="N24" i="14"/>
  <c r="Q23" i="14"/>
  <c r="P23" i="14"/>
  <c r="N23" i="14"/>
  <c r="Q22" i="14"/>
  <c r="P22" i="14"/>
  <c r="N22" i="14"/>
  <c r="Q21" i="14"/>
  <c r="P21" i="14"/>
  <c r="N21" i="14"/>
  <c r="Q20" i="14"/>
  <c r="P20" i="14"/>
  <c r="N20" i="14"/>
  <c r="Q19" i="14"/>
  <c r="P19" i="14"/>
  <c r="N19" i="14"/>
  <c r="Q18" i="14"/>
  <c r="P18" i="14"/>
  <c r="N18" i="14"/>
  <c r="Q17" i="14"/>
  <c r="P17" i="14"/>
  <c r="N17" i="14"/>
  <c r="Q16" i="14"/>
  <c r="P16" i="14"/>
  <c r="N16" i="14"/>
  <c r="Q15" i="14"/>
  <c r="P15" i="14"/>
  <c r="N15" i="14"/>
  <c r="Q14" i="14"/>
  <c r="P14" i="14"/>
  <c r="N14" i="14"/>
  <c r="Q13" i="14"/>
  <c r="P13" i="14"/>
  <c r="N13" i="14"/>
  <c r="Q12" i="14"/>
  <c r="P12" i="14"/>
  <c r="N12" i="14"/>
  <c r="P11" i="14"/>
  <c r="N11" i="14"/>
  <c r="Q10" i="14"/>
  <c r="P10" i="14"/>
  <c r="N10" i="14"/>
  <c r="Q44" i="14"/>
  <c r="S50" i="10"/>
  <c r="S49" i="10"/>
  <c r="F45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U19" i="15"/>
  <c r="U18" i="15"/>
  <c r="V18" i="15"/>
  <c r="AA18" i="15"/>
  <c r="Z18" i="15"/>
  <c r="Y18" i="15"/>
  <c r="X18" i="15"/>
  <c r="W15" i="15"/>
  <c r="W20" i="15"/>
  <c r="W19" i="15" s="1"/>
  <c r="W29" i="15"/>
  <c r="W31" i="15" s="1"/>
  <c r="AB19" i="15"/>
  <c r="Z19" i="15"/>
  <c r="Y19" i="15"/>
  <c r="V19" i="15"/>
  <c r="AA31" i="15"/>
  <c r="AA30" i="15" s="1"/>
  <c r="Z31" i="15"/>
  <c r="Z30" i="15" s="1"/>
  <c r="Y31" i="15"/>
  <c r="Y30" i="15"/>
  <c r="X31" i="15"/>
  <c r="X30" i="15" s="1"/>
  <c r="G47" i="11"/>
  <c r="B47" i="11"/>
  <c r="B46" i="11"/>
  <c r="B45" i="11"/>
  <c r="B44" i="11"/>
  <c r="P46" i="11"/>
  <c r="G46" i="11"/>
  <c r="P13" i="11"/>
  <c r="P12" i="11"/>
  <c r="P11" i="11"/>
  <c r="P10" i="11"/>
  <c r="P18" i="11"/>
  <c r="P16" i="11"/>
  <c r="P15" i="11"/>
  <c r="P14" i="11"/>
  <c r="P23" i="11"/>
  <c r="P22" i="11"/>
  <c r="P21" i="11"/>
  <c r="P20" i="11"/>
  <c r="P19" i="11"/>
  <c r="P28" i="11"/>
  <c r="P27" i="11"/>
  <c r="P26" i="11"/>
  <c r="P24" i="11"/>
  <c r="P32" i="11"/>
  <c r="P31" i="11"/>
  <c r="P30" i="11"/>
  <c r="P29" i="11"/>
  <c r="P37" i="11"/>
  <c r="P36" i="11"/>
  <c r="P34" i="11"/>
  <c r="P42" i="11"/>
  <c r="P41" i="11"/>
  <c r="P39" i="11"/>
  <c r="P44" i="11"/>
  <c r="P45" i="11"/>
  <c r="G44" i="11"/>
  <c r="G45" i="11"/>
  <c r="B49" i="11"/>
  <c r="R29" i="15"/>
  <c r="R30" i="15" s="1"/>
  <c r="T29" i="15"/>
  <c r="T30" i="15"/>
  <c r="S29" i="15"/>
  <c r="S30" i="15" s="1"/>
  <c r="Y13" i="15"/>
  <c r="S55" i="13"/>
  <c r="N55" i="13"/>
  <c r="R55" i="13"/>
  <c r="R34" i="11"/>
  <c r="Q34" i="11"/>
  <c r="Q33" i="13"/>
  <c r="R26" i="11"/>
  <c r="V21" i="13"/>
  <c r="K22" i="11" s="1"/>
  <c r="R10" i="11"/>
  <c r="V10" i="13"/>
  <c r="K11" i="11" s="1"/>
  <c r="R36" i="11"/>
  <c r="Q36" i="11"/>
  <c r="Q35" i="13"/>
  <c r="L37" i="11" s="1"/>
  <c r="V36" i="13"/>
  <c r="K37" i="11" s="1"/>
  <c r="R32" i="11"/>
  <c r="Q32" i="11"/>
  <c r="Q31" i="13"/>
  <c r="R28" i="11"/>
  <c r="Q28" i="11"/>
  <c r="Q27" i="13"/>
  <c r="V28" i="13"/>
  <c r="K29" i="11" s="1"/>
  <c r="R24" i="11"/>
  <c r="Q24" i="11"/>
  <c r="Q23" i="13"/>
  <c r="V23" i="13"/>
  <c r="K24" i="11" s="1"/>
  <c r="R20" i="11"/>
  <c r="Q20" i="11"/>
  <c r="Q19" i="13"/>
  <c r="L21" i="11" s="1"/>
  <c r="V20" i="13"/>
  <c r="K21" i="11" s="1"/>
  <c r="R16" i="11"/>
  <c r="Q16" i="11"/>
  <c r="Q15" i="13"/>
  <c r="R12" i="11"/>
  <c r="Q12" i="11"/>
  <c r="Q11" i="13"/>
  <c r="V12" i="13"/>
  <c r="K13" i="11" s="1"/>
  <c r="AC29" i="15"/>
  <c r="W18" i="15"/>
  <c r="R51" i="13"/>
  <c r="R12" i="12"/>
  <c r="X12" i="12" s="1"/>
  <c r="R33" i="12"/>
  <c r="X33" i="12" s="1"/>
  <c r="B55" i="11"/>
  <c r="R13" i="12"/>
  <c r="X13" i="12" s="1"/>
  <c r="R32" i="12"/>
  <c r="X32" i="12" s="1"/>
  <c r="N21" i="15"/>
  <c r="N20" i="15" s="1"/>
  <c r="Q51" i="14"/>
  <c r="U61" i="10"/>
  <c r="P55" i="13"/>
  <c r="Q55" i="13"/>
  <c r="R56" i="13"/>
  <c r="U56" i="13" s="1"/>
  <c r="R39" i="12"/>
  <c r="X39" i="12" s="1"/>
  <c r="AA59" i="10" l="1"/>
  <c r="Z59" i="10"/>
  <c r="X55" i="10"/>
  <c r="V55" i="10"/>
  <c r="Y55" i="10"/>
  <c r="AA55" i="10"/>
  <c r="AA60" i="10"/>
  <c r="AA70" i="10"/>
  <c r="J66" i="10"/>
  <c r="K70" i="10"/>
  <c r="L21" i="15"/>
  <c r="L20" i="15" s="1"/>
  <c r="U36" i="13"/>
  <c r="U43" i="13"/>
  <c r="U18" i="13"/>
  <c r="U19" i="13"/>
  <c r="U22" i="13"/>
  <c r="U23" i="13"/>
  <c r="R41" i="11"/>
  <c r="Q41" i="11"/>
  <c r="Q40" i="13"/>
  <c r="P38" i="11"/>
  <c r="P37" i="13"/>
  <c r="R31" i="11"/>
  <c r="V31" i="13"/>
  <c r="K32" i="11" s="1"/>
  <c r="Q30" i="13"/>
  <c r="L32" i="11" s="1"/>
  <c r="Q31" i="11"/>
  <c r="P24" i="13"/>
  <c r="P25" i="11"/>
  <c r="R15" i="11"/>
  <c r="V15" i="13"/>
  <c r="K16" i="11" s="1"/>
  <c r="Q14" i="13"/>
  <c r="L16" i="11" s="1"/>
  <c r="Q15" i="11"/>
  <c r="AC31" i="15"/>
  <c r="AB30" i="15"/>
  <c r="O47" i="13"/>
  <c r="E47" i="13"/>
  <c r="Q45" i="16"/>
  <c r="S55" i="10"/>
  <c r="R31" i="12"/>
  <c r="X31" i="12" s="1"/>
  <c r="R11" i="12"/>
  <c r="X11" i="12" s="1"/>
  <c r="P45" i="14"/>
  <c r="S56" i="10"/>
  <c r="O38" i="14"/>
  <c r="N38" i="14"/>
  <c r="N36" i="14"/>
  <c r="N13" i="15"/>
  <c r="G57" i="13"/>
  <c r="R57" i="13"/>
  <c r="U30" i="13"/>
  <c r="U31" i="13"/>
  <c r="Q44" i="11"/>
  <c r="Q43" i="13"/>
  <c r="R44" i="11"/>
  <c r="V29" i="13"/>
  <c r="K30" i="11" s="1"/>
  <c r="R30" i="11"/>
  <c r="V30" i="13"/>
  <c r="K31" i="11" s="1"/>
  <c r="Q29" i="13"/>
  <c r="L31" i="11" s="1"/>
  <c r="R18" i="11"/>
  <c r="V18" i="13"/>
  <c r="K19" i="11" s="1"/>
  <c r="Q18" i="11"/>
  <c r="R26" i="13"/>
  <c r="Q27" i="11"/>
  <c r="O26" i="13"/>
  <c r="J26" i="13"/>
  <c r="K51" i="10"/>
  <c r="S48" i="11"/>
  <c r="L51" i="10"/>
  <c r="J51" i="10"/>
  <c r="C51" i="10"/>
  <c r="M48" i="16"/>
  <c r="U24" i="13"/>
  <c r="U38" i="13"/>
  <c r="P42" i="13"/>
  <c r="P43" i="11"/>
  <c r="P32" i="13"/>
  <c r="P33" i="11"/>
  <c r="R23" i="11"/>
  <c r="Q22" i="13"/>
  <c r="L24" i="11" s="1"/>
  <c r="P16" i="13"/>
  <c r="P17" i="11"/>
  <c r="Q25" i="11"/>
  <c r="J24" i="13"/>
  <c r="O24" i="13"/>
  <c r="M19" i="15"/>
  <c r="M21" i="15"/>
  <c r="G51" i="13"/>
  <c r="N51" i="13" s="1"/>
  <c r="P51" i="13" s="1"/>
  <c r="Q51" i="13" s="1"/>
  <c r="B52" i="11"/>
  <c r="C48" i="11"/>
  <c r="G51" i="10"/>
  <c r="F51" i="10" s="1"/>
  <c r="I51" i="10"/>
  <c r="B51" i="10"/>
  <c r="G52" i="10"/>
  <c r="F52" i="10" s="1"/>
  <c r="H51" i="10"/>
  <c r="P55" i="11"/>
  <c r="R54" i="13"/>
  <c r="B59" i="11"/>
  <c r="P39" i="13"/>
  <c r="P40" i="11"/>
  <c r="R27" i="11"/>
  <c r="V27" i="13"/>
  <c r="K28" i="11" s="1"/>
  <c r="Q26" i="13"/>
  <c r="L28" i="11" s="1"/>
  <c r="V13" i="13"/>
  <c r="K14" i="11" s="1"/>
  <c r="R14" i="11"/>
  <c r="V14" i="13"/>
  <c r="K15" i="11" s="1"/>
  <c r="Q13" i="13"/>
  <c r="L15" i="11" s="1"/>
  <c r="R11" i="11"/>
  <c r="Q11" i="11"/>
  <c r="V11" i="13"/>
  <c r="K12" i="11" s="1"/>
  <c r="Q10" i="13"/>
  <c r="L12" i="11" s="1"/>
  <c r="P47" i="11"/>
  <c r="P46" i="13"/>
  <c r="Q14" i="11"/>
  <c r="U16" i="13"/>
  <c r="L14" i="11"/>
  <c r="R45" i="11"/>
  <c r="Q45" i="11"/>
  <c r="Q44" i="13"/>
  <c r="P34" i="13"/>
  <c r="P35" i="11"/>
  <c r="Q25" i="13"/>
  <c r="L27" i="11" s="1"/>
  <c r="Q26" i="11"/>
  <c r="Q22" i="11"/>
  <c r="Q21" i="13"/>
  <c r="L23" i="11" s="1"/>
  <c r="R22" i="11"/>
  <c r="V22" i="13"/>
  <c r="K23" i="11" s="1"/>
  <c r="R19" i="11"/>
  <c r="Q19" i="11"/>
  <c r="Q18" i="13"/>
  <c r="L20" i="11" s="1"/>
  <c r="V19" i="13"/>
  <c r="K20" i="11" s="1"/>
  <c r="Q9" i="13"/>
  <c r="L11" i="11" s="1"/>
  <c r="V9" i="13"/>
  <c r="K10" i="11" s="1"/>
  <c r="Q10" i="11"/>
  <c r="J22" i="13"/>
  <c r="O22" i="13"/>
  <c r="Q23" i="11"/>
  <c r="P41" i="14"/>
  <c r="T49" i="10"/>
  <c r="Z13" i="15"/>
  <c r="L52" i="10"/>
  <c r="S49" i="11"/>
  <c r="K52" i="10"/>
  <c r="C52" i="10"/>
  <c r="J52" i="10"/>
  <c r="M49" i="16"/>
  <c r="E60" i="11"/>
  <c r="U44" i="13"/>
  <c r="O39" i="14"/>
  <c r="V13" i="15"/>
  <c r="W13" i="15"/>
  <c r="M14" i="15"/>
  <c r="M13" i="15" s="1"/>
  <c r="E52" i="13"/>
  <c r="B47" i="10"/>
  <c r="C44" i="11"/>
  <c r="C45" i="11"/>
  <c r="B48" i="10"/>
  <c r="AA52" i="10"/>
  <c r="I49" i="11"/>
  <c r="J49" i="11"/>
  <c r="Z52" i="10"/>
  <c r="Y52" i="10"/>
  <c r="N54" i="13"/>
  <c r="Q54" i="14"/>
  <c r="T69" i="10"/>
  <c r="Q59" i="13"/>
  <c r="L61" i="11" s="1"/>
  <c r="V60" i="13"/>
  <c r="K61" i="11" s="1"/>
  <c r="Q60" i="11"/>
  <c r="R60" i="11"/>
  <c r="N50" i="14"/>
  <c r="AA68" i="10"/>
  <c r="I48" i="11"/>
  <c r="Z51" i="10"/>
  <c r="N48" i="11"/>
  <c r="AA51" i="10"/>
  <c r="Y51" i="10"/>
  <c r="J48" i="11"/>
  <c r="J52" i="11" s="1"/>
  <c r="O49" i="16"/>
  <c r="L13" i="11"/>
  <c r="L29" i="11"/>
  <c r="N35" i="14"/>
  <c r="N44" i="14"/>
  <c r="S20" i="15"/>
  <c r="N32" i="14"/>
  <c r="O40" i="14"/>
  <c r="R48" i="13"/>
  <c r="AA13" i="15"/>
  <c r="E53" i="13"/>
  <c r="W59" i="10"/>
  <c r="W52" i="10"/>
  <c r="X52" i="10"/>
  <c r="V52" i="10"/>
  <c r="N49" i="11"/>
  <c r="P58" i="11"/>
  <c r="R58" i="13"/>
  <c r="U59" i="13" s="1"/>
  <c r="S19" i="15"/>
  <c r="S13" i="15"/>
  <c r="X19" i="15"/>
  <c r="K13" i="15"/>
  <c r="I21" i="15"/>
  <c r="I20" i="15" s="1"/>
  <c r="R13" i="15"/>
  <c r="R19" i="15"/>
  <c r="AC15" i="15"/>
  <c r="AB13" i="15"/>
  <c r="L14" i="15"/>
  <c r="L13" i="15" s="1"/>
  <c r="J21" i="15"/>
  <c r="J20" i="15" s="1"/>
  <c r="R18" i="15"/>
  <c r="AC18" i="15" s="1"/>
  <c r="T13" i="15"/>
  <c r="Q31" i="14"/>
  <c r="U44" i="10"/>
  <c r="P31" i="14"/>
  <c r="U34" i="10"/>
  <c r="T34" i="10"/>
  <c r="U37" i="10"/>
  <c r="T37" i="10"/>
  <c r="Q34" i="14"/>
  <c r="P34" i="14"/>
  <c r="S38" i="10"/>
  <c r="U41" i="10"/>
  <c r="P38" i="14"/>
  <c r="Q38" i="14"/>
  <c r="P51" i="14"/>
  <c r="T66" i="10"/>
  <c r="S64" i="10"/>
  <c r="T68" i="10"/>
  <c r="R37" i="12"/>
  <c r="X37" i="12" s="1"/>
  <c r="Q35" i="14"/>
  <c r="N41" i="14"/>
  <c r="O33" i="14"/>
  <c r="T36" i="10" s="1"/>
  <c r="U67" i="10"/>
  <c r="N52" i="14"/>
  <c r="R19" i="12"/>
  <c r="X19" i="12" s="1"/>
  <c r="Q53" i="14"/>
  <c r="T61" i="10"/>
  <c r="S48" i="10"/>
  <c r="P44" i="14"/>
  <c r="Q11" i="14"/>
  <c r="N42" i="14"/>
  <c r="O32" i="14"/>
  <c r="T35" i="10" s="1"/>
  <c r="O43" i="14"/>
  <c r="O36" i="14"/>
  <c r="U49" i="10" s="1"/>
  <c r="U66" i="10"/>
  <c r="R17" i="12"/>
  <c r="X17" i="12" s="1"/>
  <c r="R41" i="12"/>
  <c r="X41" i="12" s="1"/>
  <c r="V57" i="10"/>
  <c r="F34" i="12"/>
  <c r="S52" i="11" s="1"/>
  <c r="P38" i="12"/>
  <c r="K67" i="10"/>
  <c r="AA65" i="10"/>
  <c r="J62" i="11"/>
  <c r="V58" i="10"/>
  <c r="N56" i="11"/>
  <c r="W67" i="10"/>
  <c r="J39" i="12"/>
  <c r="L39" i="12" s="1"/>
  <c r="N39" i="12" s="1"/>
  <c r="N68" i="10" s="1"/>
  <c r="K68" i="10"/>
  <c r="V56" i="10"/>
  <c r="B58" i="10"/>
  <c r="J53" i="11"/>
  <c r="V66" i="10"/>
  <c r="J61" i="11"/>
  <c r="M67" i="10"/>
  <c r="D13" i="15"/>
  <c r="D20" i="15"/>
  <c r="H13" i="15"/>
  <c r="N53" i="11"/>
  <c r="Q12" i="12"/>
  <c r="W12" i="12" s="1"/>
  <c r="L12" i="12"/>
  <c r="N12" i="12" s="1"/>
  <c r="W66" i="10"/>
  <c r="X61" i="10"/>
  <c r="J55" i="11"/>
  <c r="I52" i="11"/>
  <c r="Z66" i="10"/>
  <c r="AA61" i="10"/>
  <c r="N54" i="11"/>
  <c r="X60" i="10"/>
  <c r="V61" i="10"/>
  <c r="V59" i="10"/>
  <c r="Y60" i="10"/>
  <c r="N55" i="11"/>
  <c r="P12" i="12"/>
  <c r="J18" i="12"/>
  <c r="Q18" i="12" s="1"/>
  <c r="W18" i="12" s="1"/>
  <c r="Z61" i="10"/>
  <c r="I55" i="11"/>
  <c r="F36" i="12"/>
  <c r="J36" i="12" s="1"/>
  <c r="L36" i="12" s="1"/>
  <c r="N36" i="12" s="1"/>
  <c r="D54" i="11" s="1"/>
  <c r="J16" i="12"/>
  <c r="Q16" i="12" s="1"/>
  <c r="W16" i="12" s="1"/>
  <c r="P16" i="12"/>
  <c r="L13" i="12"/>
  <c r="N13" i="12" s="1"/>
  <c r="Q13" i="12"/>
  <c r="W13" i="12" s="1"/>
  <c r="L17" i="12"/>
  <c r="N17" i="12" s="1"/>
  <c r="N52" i="11"/>
  <c r="I54" i="11"/>
  <c r="B55" i="10"/>
  <c r="P19" i="12"/>
  <c r="F31" i="12"/>
  <c r="Z60" i="10"/>
  <c r="F35" i="12"/>
  <c r="P17" i="12"/>
  <c r="V64" i="10"/>
  <c r="Y61" i="10"/>
  <c r="Y59" i="10"/>
  <c r="F37" i="12"/>
  <c r="C61" i="10" s="1"/>
  <c r="B61" i="10"/>
  <c r="V60" i="10"/>
  <c r="W60" i="10"/>
  <c r="F11" i="12"/>
  <c r="J11" i="12" s="1"/>
  <c r="Z64" i="10"/>
  <c r="J14" i="12"/>
  <c r="P14" i="12"/>
  <c r="J33" i="12"/>
  <c r="L33" i="12" s="1"/>
  <c r="N33" i="12" s="1"/>
  <c r="P33" i="12"/>
  <c r="J57" i="10"/>
  <c r="C57" i="10"/>
  <c r="L15" i="12"/>
  <c r="N15" i="12" s="1"/>
  <c r="Q15" i="12"/>
  <c r="W15" i="12" s="1"/>
  <c r="P32" i="12"/>
  <c r="N58" i="11"/>
  <c r="J54" i="11"/>
  <c r="W65" i="10"/>
  <c r="P15" i="12"/>
  <c r="I60" i="11"/>
  <c r="Y66" i="10"/>
  <c r="C56" i="10"/>
  <c r="Y58" i="10"/>
  <c r="C54" i="11"/>
  <c r="I53" i="11"/>
  <c r="P13" i="12"/>
  <c r="W61" i="10"/>
  <c r="B60" i="10"/>
  <c r="G56" i="10"/>
  <c r="Y56" i="10"/>
  <c r="Y57" i="10"/>
  <c r="Y63" i="10"/>
  <c r="J60" i="11"/>
  <c r="AA64" i="10"/>
  <c r="D60" i="11"/>
  <c r="D66" i="10"/>
  <c r="M60" i="11"/>
  <c r="O60" i="11"/>
  <c r="P39" i="12"/>
  <c r="J38" i="12"/>
  <c r="L38" i="12" s="1"/>
  <c r="N38" i="12" s="1"/>
  <c r="L19" i="12"/>
  <c r="N19" i="12" s="1"/>
  <c r="R43" i="11"/>
  <c r="Q43" i="11"/>
  <c r="Q42" i="13"/>
  <c r="L44" i="11" s="1"/>
  <c r="V43" i="13"/>
  <c r="Q42" i="11"/>
  <c r="Q41" i="13"/>
  <c r="V42" i="13"/>
  <c r="K43" i="11" s="1"/>
  <c r="R42" i="11"/>
  <c r="V41" i="13"/>
  <c r="K42" i="11" s="1"/>
  <c r="Q45" i="13"/>
  <c r="V46" i="13"/>
  <c r="K47" i="11" s="1"/>
  <c r="R46" i="11"/>
  <c r="V45" i="13"/>
  <c r="K46" i="11" s="1"/>
  <c r="Q46" i="11"/>
  <c r="W30" i="15"/>
  <c r="N33" i="14"/>
  <c r="U35" i="10"/>
  <c r="U38" i="10"/>
  <c r="T38" i="10"/>
  <c r="U48" i="10"/>
  <c r="E56" i="11"/>
  <c r="N39" i="14"/>
  <c r="N43" i="14"/>
  <c r="J41" i="12"/>
  <c r="T59" i="11" s="1"/>
  <c r="S59" i="11"/>
  <c r="J65" i="10"/>
  <c r="C65" i="10"/>
  <c r="C62" i="10"/>
  <c r="S56" i="11"/>
  <c r="P56" i="11"/>
  <c r="K44" i="11"/>
  <c r="N40" i="14"/>
  <c r="J40" i="12"/>
  <c r="T58" i="11" s="1"/>
  <c r="J64" i="10"/>
  <c r="C64" i="10"/>
  <c r="S58" i="11"/>
  <c r="J32" i="12"/>
  <c r="L32" i="12" s="1"/>
  <c r="N32" i="12" s="1"/>
  <c r="B56" i="11"/>
  <c r="Z63" i="10"/>
  <c r="U57" i="13"/>
  <c r="W64" i="10"/>
  <c r="S65" i="10"/>
  <c r="P59" i="11"/>
  <c r="G48" i="13"/>
  <c r="J56" i="11"/>
  <c r="G56" i="13"/>
  <c r="C63" i="10"/>
  <c r="J63" i="10"/>
  <c r="AA62" i="10"/>
  <c r="S57" i="11"/>
  <c r="J13" i="15"/>
  <c r="X64" i="10"/>
  <c r="B58" i="11"/>
  <c r="I58" i="11"/>
  <c r="R20" i="12"/>
  <c r="X20" i="12" s="1"/>
  <c r="P55" i="14"/>
  <c r="U58" i="13"/>
  <c r="X65" i="10"/>
  <c r="I59" i="11"/>
  <c r="R47" i="13"/>
  <c r="Y62" i="10"/>
  <c r="AA63" i="10"/>
  <c r="U64" i="10"/>
  <c r="Y64" i="10"/>
  <c r="J58" i="11"/>
  <c r="R40" i="12"/>
  <c r="X40" i="12" s="1"/>
  <c r="U65" i="10"/>
  <c r="Y65" i="10"/>
  <c r="J59" i="11"/>
  <c r="N59" i="11"/>
  <c r="O50" i="14"/>
  <c r="T65" i="10" s="1"/>
  <c r="N48" i="16"/>
  <c r="O48" i="16" s="1"/>
  <c r="Z62" i="10"/>
  <c r="N55" i="14"/>
  <c r="V65" i="10"/>
  <c r="Z65" i="10"/>
  <c r="R21" i="12"/>
  <c r="X21" i="12" s="1"/>
  <c r="Q55" i="14"/>
  <c r="P41" i="12"/>
  <c r="Q21" i="12"/>
  <c r="W21" i="12" s="1"/>
  <c r="L21" i="12"/>
  <c r="N21" i="12" s="1"/>
  <c r="P21" i="12"/>
  <c r="F44" i="11"/>
  <c r="H44" i="11" s="1"/>
  <c r="F46" i="11"/>
  <c r="H46" i="11" s="1"/>
  <c r="F45" i="11"/>
  <c r="H45" i="11" s="1"/>
  <c r="F47" i="11"/>
  <c r="H47" i="11" s="1"/>
  <c r="T60" i="10"/>
  <c r="Q50" i="14"/>
  <c r="R36" i="12"/>
  <c r="X36" i="12" s="1"/>
  <c r="U60" i="10"/>
  <c r="R16" i="12"/>
  <c r="X16" i="12" s="1"/>
  <c r="Q42" i="14"/>
  <c r="T50" i="10"/>
  <c r="T45" i="10"/>
  <c r="T57" i="10"/>
  <c r="P42" i="14"/>
  <c r="S45" i="10"/>
  <c r="T47" i="10"/>
  <c r="P33" i="14"/>
  <c r="P40" i="14"/>
  <c r="T43" i="10"/>
  <c r="T48" i="10"/>
  <c r="T55" i="10"/>
  <c r="U43" i="10"/>
  <c r="Q40" i="14"/>
  <c r="S44" i="10"/>
  <c r="S43" i="10"/>
  <c r="U42" i="10"/>
  <c r="Q39" i="14"/>
  <c r="T42" i="10"/>
  <c r="P39" i="14"/>
  <c r="S42" i="10"/>
  <c r="P43" i="14"/>
  <c r="T46" i="10"/>
  <c r="Q43" i="14"/>
  <c r="S46" i="10"/>
  <c r="P37" i="14"/>
  <c r="U57" i="10"/>
  <c r="Q37" i="14"/>
  <c r="S41" i="10"/>
  <c r="U50" i="10"/>
  <c r="U40" i="10"/>
  <c r="T56" i="10"/>
  <c r="S47" i="10"/>
  <c r="U47" i="10"/>
  <c r="P54" i="14"/>
  <c r="O52" i="14"/>
  <c r="T67" i="10" s="1"/>
  <c r="P53" i="14"/>
  <c r="U63" i="10"/>
  <c r="P40" i="12"/>
  <c r="J20" i="12"/>
  <c r="P20" i="12"/>
  <c r="W62" i="10"/>
  <c r="I56" i="11"/>
  <c r="V63" i="10"/>
  <c r="X62" i="10"/>
  <c r="J57" i="11"/>
  <c r="N57" i="11"/>
  <c r="V62" i="10"/>
  <c r="W63" i="10"/>
  <c r="X63" i="10"/>
  <c r="I57" i="11"/>
  <c r="C60" i="10" l="1"/>
  <c r="I13" i="15"/>
  <c r="F60" i="11"/>
  <c r="U56" i="10"/>
  <c r="U46" i="10"/>
  <c r="S37" i="10"/>
  <c r="T55" i="13"/>
  <c r="G56" i="11" s="1"/>
  <c r="P54" i="13"/>
  <c r="R47" i="11"/>
  <c r="Q46" i="13"/>
  <c r="Q47" i="11"/>
  <c r="U54" i="13"/>
  <c r="U55" i="13"/>
  <c r="L30" i="11"/>
  <c r="R25" i="11"/>
  <c r="Q24" i="13"/>
  <c r="V25" i="13"/>
  <c r="K26" i="11" s="1"/>
  <c r="V24" i="13"/>
  <c r="K25" i="11" s="1"/>
  <c r="R35" i="11"/>
  <c r="V35" i="13"/>
  <c r="K36" i="11" s="1"/>
  <c r="Q35" i="11"/>
  <c r="Q34" i="13"/>
  <c r="V34" i="13"/>
  <c r="K35" i="11" s="1"/>
  <c r="R17" i="11"/>
  <c r="Q17" i="11"/>
  <c r="Q16" i="13"/>
  <c r="V16" i="13"/>
  <c r="K17" i="11" s="1"/>
  <c r="V17" i="13"/>
  <c r="K18" i="11" s="1"/>
  <c r="U26" i="13"/>
  <c r="U27" i="13"/>
  <c r="Q38" i="11"/>
  <c r="Q37" i="13"/>
  <c r="R38" i="11"/>
  <c r="V37" i="13"/>
  <c r="K38" i="11" s="1"/>
  <c r="V38" i="13"/>
  <c r="K39" i="11" s="1"/>
  <c r="Q33" i="14"/>
  <c r="T41" i="10"/>
  <c r="L47" i="11"/>
  <c r="L43" i="11"/>
  <c r="P49" i="16"/>
  <c r="V49" i="16" s="1"/>
  <c r="T49" i="11"/>
  <c r="D52" i="10"/>
  <c r="D49" i="11"/>
  <c r="N52" i="10"/>
  <c r="M52" i="10"/>
  <c r="O52" i="10"/>
  <c r="L46" i="11"/>
  <c r="Q40" i="11"/>
  <c r="Q39" i="13"/>
  <c r="R40" i="11"/>
  <c r="V39" i="13"/>
  <c r="K40" i="11" s="1"/>
  <c r="V40" i="13"/>
  <c r="K41" i="11" s="1"/>
  <c r="M20" i="15"/>
  <c r="L45" i="11"/>
  <c r="L22" i="11"/>
  <c r="Q33" i="11"/>
  <c r="Q32" i="13"/>
  <c r="V33" i="13"/>
  <c r="K34" i="11" s="1"/>
  <c r="V32" i="13"/>
  <c r="K33" i="11" s="1"/>
  <c r="R33" i="11"/>
  <c r="S40" i="10"/>
  <c r="U36" i="10"/>
  <c r="R53" i="13"/>
  <c r="G53" i="13"/>
  <c r="B54" i="11"/>
  <c r="G52" i="13"/>
  <c r="R52" i="13"/>
  <c r="U52" i="13" s="1"/>
  <c r="B53" i="11"/>
  <c r="P52" i="11"/>
  <c r="D48" i="11"/>
  <c r="O51" i="10"/>
  <c r="T48" i="11"/>
  <c r="M51" i="10"/>
  <c r="N51" i="10"/>
  <c r="D51" i="10"/>
  <c r="P48" i="16"/>
  <c r="V48" i="16" s="1"/>
  <c r="G47" i="13"/>
  <c r="B48" i="11"/>
  <c r="L42" i="11"/>
  <c r="L19" i="11"/>
  <c r="L18" i="12"/>
  <c r="N18" i="12" s="1"/>
  <c r="P36" i="12"/>
  <c r="S54" i="11"/>
  <c r="D60" i="10"/>
  <c r="S35" i="10"/>
  <c r="Q32" i="14"/>
  <c r="P32" i="14"/>
  <c r="T40" i="10"/>
  <c r="U45" i="10"/>
  <c r="P36" i="14"/>
  <c r="T39" i="10"/>
  <c r="S39" i="10"/>
  <c r="Q36" i="14"/>
  <c r="T44" i="10"/>
  <c r="S36" i="10"/>
  <c r="S61" i="10"/>
  <c r="P50" i="14"/>
  <c r="U39" i="10"/>
  <c r="T57" i="11"/>
  <c r="C58" i="10"/>
  <c r="P34" i="12"/>
  <c r="Q39" i="12"/>
  <c r="W39" i="12" s="1"/>
  <c r="M57" i="11" s="1"/>
  <c r="J58" i="10"/>
  <c r="D57" i="11"/>
  <c r="T54" i="11"/>
  <c r="D63" i="10"/>
  <c r="J34" i="12"/>
  <c r="L34" i="12" s="1"/>
  <c r="N34" i="12" s="1"/>
  <c r="D56" i="11"/>
  <c r="F56" i="11" s="1"/>
  <c r="N67" i="10"/>
  <c r="Q36" i="12"/>
  <c r="W36" i="12" s="1"/>
  <c r="M54" i="11" s="1"/>
  <c r="S55" i="11"/>
  <c r="K61" i="10"/>
  <c r="J37" i="12"/>
  <c r="L37" i="12" s="1"/>
  <c r="N37" i="12" s="1"/>
  <c r="D55" i="11" s="1"/>
  <c r="J60" i="10"/>
  <c r="P11" i="12"/>
  <c r="P31" i="12"/>
  <c r="K60" i="10"/>
  <c r="C55" i="10"/>
  <c r="J31" i="12"/>
  <c r="L31" i="12" s="1"/>
  <c r="N31" i="12" s="1"/>
  <c r="J56" i="10"/>
  <c r="L16" i="12"/>
  <c r="N16" i="12" s="1"/>
  <c r="P37" i="12"/>
  <c r="J61" i="10"/>
  <c r="J59" i="10"/>
  <c r="P35" i="12"/>
  <c r="C59" i="10"/>
  <c r="S53" i="11"/>
  <c r="J35" i="12"/>
  <c r="Q14" i="12"/>
  <c r="W14" i="12" s="1"/>
  <c r="L14" i="12"/>
  <c r="N14" i="12" s="1"/>
  <c r="Q33" i="12"/>
  <c r="W33" i="12" s="1"/>
  <c r="D57" i="10"/>
  <c r="O48" i="14"/>
  <c r="N48" i="14"/>
  <c r="Q41" i="12"/>
  <c r="W41" i="12" s="1"/>
  <c r="Q70" i="10" s="1"/>
  <c r="L40" i="12"/>
  <c r="N40" i="12" s="1"/>
  <c r="N69" i="10" s="1"/>
  <c r="Q40" i="12"/>
  <c r="W40" i="12" s="1"/>
  <c r="Q38" i="12"/>
  <c r="W38" i="12" s="1"/>
  <c r="Q67" i="10" s="1"/>
  <c r="D62" i="10"/>
  <c r="M63" i="10"/>
  <c r="T56" i="11"/>
  <c r="L41" i="12"/>
  <c r="N41" i="12" s="1"/>
  <c r="N70" i="10" s="1"/>
  <c r="U47" i="13"/>
  <c r="U48" i="13"/>
  <c r="N48" i="13"/>
  <c r="P49" i="11"/>
  <c r="S48" i="13"/>
  <c r="E49" i="11" s="1"/>
  <c r="D56" i="10"/>
  <c r="M57" i="10"/>
  <c r="Q32" i="12"/>
  <c r="W32" i="12" s="1"/>
  <c r="L11" i="12"/>
  <c r="N11" i="12" s="1"/>
  <c r="Q11" i="12"/>
  <c r="W11" i="12" s="1"/>
  <c r="S56" i="13"/>
  <c r="N56" i="13"/>
  <c r="P57" i="11"/>
  <c r="S58" i="13"/>
  <c r="N58" i="13"/>
  <c r="T59" i="13" s="1"/>
  <c r="G60" i="11" s="1"/>
  <c r="S57" i="13"/>
  <c r="N57" i="13"/>
  <c r="U62" i="10"/>
  <c r="S62" i="10"/>
  <c r="R38" i="12"/>
  <c r="X38" i="12" s="1"/>
  <c r="R18" i="12"/>
  <c r="X18" i="12" s="1"/>
  <c r="T62" i="10"/>
  <c r="P52" i="14"/>
  <c r="Q52" i="14"/>
  <c r="S63" i="10"/>
  <c r="Q20" i="12"/>
  <c r="W20" i="12" s="1"/>
  <c r="L20" i="12"/>
  <c r="N20" i="12" s="1"/>
  <c r="H60" i="11" l="1"/>
  <c r="H56" i="11"/>
  <c r="L41" i="11"/>
  <c r="L40" i="11"/>
  <c r="L39" i="11"/>
  <c r="L38" i="11"/>
  <c r="L26" i="11"/>
  <c r="L25" i="11"/>
  <c r="K56" i="11"/>
  <c r="P48" i="11"/>
  <c r="N47" i="13"/>
  <c r="S47" i="13"/>
  <c r="E48" i="11" s="1"/>
  <c r="F48" i="11" s="1"/>
  <c r="L34" i="11"/>
  <c r="L33" i="11"/>
  <c r="Q51" i="10"/>
  <c r="O48" i="11"/>
  <c r="P51" i="10"/>
  <c r="R51" i="10"/>
  <c r="M48" i="11"/>
  <c r="U53" i="13"/>
  <c r="S53" i="13"/>
  <c r="N53" i="13"/>
  <c r="S54" i="13"/>
  <c r="P54" i="11"/>
  <c r="N52" i="13"/>
  <c r="S52" i="13"/>
  <c r="P53" i="11"/>
  <c r="P52" i="10"/>
  <c r="M49" i="11"/>
  <c r="R52" i="10"/>
  <c r="O49" i="11"/>
  <c r="Q52" i="10"/>
  <c r="L18" i="11"/>
  <c r="L17" i="11"/>
  <c r="L36" i="11"/>
  <c r="L35" i="11"/>
  <c r="Q54" i="13"/>
  <c r="L56" i="11" s="1"/>
  <c r="V55" i="13"/>
  <c r="U68" i="10"/>
  <c r="Q48" i="16"/>
  <c r="M58" i="11"/>
  <c r="Q69" i="10"/>
  <c r="M61" i="10"/>
  <c r="Q37" i="12"/>
  <c r="W37" i="12" s="1"/>
  <c r="O55" i="11" s="1"/>
  <c r="O54" i="11"/>
  <c r="T52" i="11"/>
  <c r="D61" i="10"/>
  <c r="Q68" i="10"/>
  <c r="D52" i="11"/>
  <c r="Q34" i="12"/>
  <c r="W34" i="12" s="1"/>
  <c r="P58" i="10" s="1"/>
  <c r="O57" i="11"/>
  <c r="M58" i="10"/>
  <c r="D58" i="10"/>
  <c r="N61" i="10"/>
  <c r="T55" i="11"/>
  <c r="L35" i="12"/>
  <c r="N35" i="12" s="1"/>
  <c r="T53" i="11"/>
  <c r="D55" i="10"/>
  <c r="Q31" i="12"/>
  <c r="W31" i="12" s="1"/>
  <c r="Q60" i="10" s="1"/>
  <c r="N60" i="10"/>
  <c r="M56" i="10"/>
  <c r="T63" i="10"/>
  <c r="R34" i="12"/>
  <c r="X34" i="12" s="1"/>
  <c r="U51" i="10"/>
  <c r="T58" i="10"/>
  <c r="W48" i="16"/>
  <c r="T51" i="10"/>
  <c r="P48" i="14"/>
  <c r="Q48" i="14"/>
  <c r="S58" i="10"/>
  <c r="S51" i="10"/>
  <c r="U58" i="10"/>
  <c r="R14" i="12"/>
  <c r="X14" i="12" s="1"/>
  <c r="O58" i="11"/>
  <c r="O59" i="11"/>
  <c r="P66" i="10"/>
  <c r="M59" i="11"/>
  <c r="M66" i="10"/>
  <c r="D58" i="11"/>
  <c r="D64" i="10"/>
  <c r="M64" i="10"/>
  <c r="P64" i="10"/>
  <c r="P65" i="10"/>
  <c r="O56" i="11"/>
  <c r="M56" i="11"/>
  <c r="P63" i="10"/>
  <c r="D59" i="11"/>
  <c r="M65" i="10"/>
  <c r="D65" i="10"/>
  <c r="E58" i="11"/>
  <c r="E57" i="11"/>
  <c r="F57" i="11" s="1"/>
  <c r="P57" i="10"/>
  <c r="P48" i="13"/>
  <c r="T48" i="13"/>
  <c r="G49" i="11" s="1"/>
  <c r="O49" i="14"/>
  <c r="N49" i="14"/>
  <c r="E59" i="11"/>
  <c r="P56" i="13"/>
  <c r="T56" i="13"/>
  <c r="G57" i="11" s="1"/>
  <c r="F49" i="11"/>
  <c r="T58" i="13"/>
  <c r="G59" i="11" s="1"/>
  <c r="P58" i="13"/>
  <c r="V59" i="13" s="1"/>
  <c r="K60" i="11" s="1"/>
  <c r="T57" i="13"/>
  <c r="G58" i="11" s="1"/>
  <c r="P57" i="13"/>
  <c r="P61" i="10" l="1"/>
  <c r="E55" i="11"/>
  <c r="F55" i="11" s="1"/>
  <c r="E53" i="11"/>
  <c r="T53" i="13"/>
  <c r="P53" i="13"/>
  <c r="T54" i="13"/>
  <c r="G55" i="11" s="1"/>
  <c r="T52" i="13"/>
  <c r="G53" i="11" s="1"/>
  <c r="P52" i="13"/>
  <c r="G54" i="11"/>
  <c r="E54" i="11"/>
  <c r="F54" i="11" s="1"/>
  <c r="P47" i="13"/>
  <c r="T47" i="13"/>
  <c r="G48" i="11" s="1"/>
  <c r="H48" i="11" s="1"/>
  <c r="U69" i="10"/>
  <c r="Q49" i="16"/>
  <c r="W49" i="16" s="1"/>
  <c r="M55" i="11"/>
  <c r="Q61" i="10"/>
  <c r="M52" i="11"/>
  <c r="O52" i="11"/>
  <c r="H49" i="11"/>
  <c r="P56" i="10"/>
  <c r="D53" i="11"/>
  <c r="M60" i="10"/>
  <c r="M59" i="10"/>
  <c r="Q35" i="12"/>
  <c r="W35" i="12" s="1"/>
  <c r="D59" i="10"/>
  <c r="F59" i="11"/>
  <c r="H59" i="11" s="1"/>
  <c r="F58" i="11"/>
  <c r="H58" i="11" s="1"/>
  <c r="Q57" i="11"/>
  <c r="R57" i="11"/>
  <c r="V56" i="13"/>
  <c r="K57" i="11" s="1"/>
  <c r="Q56" i="13"/>
  <c r="R15" i="12"/>
  <c r="X15" i="12" s="1"/>
  <c r="R35" i="12"/>
  <c r="X35" i="12" s="1"/>
  <c r="T59" i="10"/>
  <c r="Q49" i="14"/>
  <c r="P49" i="14"/>
  <c r="T52" i="10"/>
  <c r="T64" i="10"/>
  <c r="S52" i="10"/>
  <c r="S59" i="10"/>
  <c r="U59" i="10"/>
  <c r="S60" i="10"/>
  <c r="U52" i="10"/>
  <c r="R58" i="11"/>
  <c r="Q58" i="11"/>
  <c r="R59" i="11"/>
  <c r="Q59" i="11"/>
  <c r="Q48" i="13"/>
  <c r="V48" i="13"/>
  <c r="K49" i="11" s="1"/>
  <c r="R49" i="11"/>
  <c r="R53" i="11" s="1"/>
  <c r="Q49" i="11"/>
  <c r="Q53" i="11" s="1"/>
  <c r="H57" i="11"/>
  <c r="Q58" i="13"/>
  <c r="L60" i="11" s="1"/>
  <c r="V58" i="13"/>
  <c r="K59" i="11" s="1"/>
  <c r="Q57" i="13"/>
  <c r="L59" i="11" s="1"/>
  <c r="V57" i="13"/>
  <c r="K58" i="11" s="1"/>
  <c r="F53" i="11" l="1"/>
  <c r="H53" i="11" s="1"/>
  <c r="H54" i="11"/>
  <c r="Q53" i="13"/>
  <c r="L55" i="11" s="1"/>
  <c r="V53" i="13"/>
  <c r="K54" i="11" s="1"/>
  <c r="V54" i="13"/>
  <c r="K55" i="11" s="1"/>
  <c r="Q47" i="13"/>
  <c r="Q48" i="11"/>
  <c r="Q52" i="11" s="1"/>
  <c r="R48" i="11"/>
  <c r="R52" i="11" s="1"/>
  <c r="V47" i="13"/>
  <c r="K48" i="11" s="1"/>
  <c r="V52" i="13"/>
  <c r="K53" i="11" s="1"/>
  <c r="Q52" i="13"/>
  <c r="H55" i="11"/>
  <c r="P59" i="10"/>
  <c r="M53" i="11"/>
  <c r="P60" i="10"/>
  <c r="O53" i="11"/>
  <c r="L58" i="11"/>
  <c r="L57" i="11"/>
  <c r="L53" i="11" l="1"/>
  <c r="L54" i="11"/>
  <c r="L49" i="11"/>
  <c r="L48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DeSonier</author>
  </authors>
  <commentList>
    <comment ref="O10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DeSonier:</t>
        </r>
        <r>
          <rPr>
            <sz val="8"/>
            <color indexed="81"/>
            <rFont val="Tahoma"/>
            <family val="2"/>
          </rPr>
          <t xml:space="preserve">
per Duane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lpudmd1</author>
  </authors>
  <commentList>
    <comment ref="E50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lpudmd1:</t>
        </r>
        <r>
          <rPr>
            <sz val="8"/>
            <color indexed="81"/>
            <rFont val="Tahoma"/>
            <family val="2"/>
          </rPr>
          <t xml:space="preserve">
includes steel inflation</t>
        </r>
      </text>
    </comment>
    <comment ref="F52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lpudmd1:</t>
        </r>
        <r>
          <rPr>
            <sz val="8"/>
            <color indexed="81"/>
            <rFont val="Tahoma"/>
            <family val="2"/>
          </rPr>
          <t xml:space="preserve">
includes offset of about 2% for divestitures</t>
        </r>
      </text>
    </comment>
  </commentList>
</comments>
</file>

<file path=xl/sharedStrings.xml><?xml version="1.0" encoding="utf-8"?>
<sst xmlns="http://schemas.openxmlformats.org/spreadsheetml/2006/main" count="538" uniqueCount="297">
  <si>
    <t>Other</t>
  </si>
  <si>
    <t xml:space="preserve">     Total</t>
  </si>
  <si>
    <t>Year ended Dec. 31</t>
  </si>
  <si>
    <t>External Sales</t>
  </si>
  <si>
    <t>Assets</t>
  </si>
  <si>
    <t>Dollars in millions</t>
  </si>
  <si>
    <t xml:space="preserve">     United States</t>
  </si>
  <si>
    <t xml:space="preserve">     Foreign</t>
  </si>
  <si>
    <t>Long-Lived Assets</t>
  </si>
  <si>
    <t xml:space="preserve">For the Fiscal Year </t>
  </si>
  <si>
    <t>Liabilities</t>
  </si>
  <si>
    <t>Current Assets</t>
  </si>
  <si>
    <t>Total Assets</t>
  </si>
  <si>
    <t>Long Term Debt</t>
  </si>
  <si>
    <t>(In Millions)</t>
  </si>
  <si>
    <r>
      <t xml:space="preserve">      </t>
    </r>
    <r>
      <rPr>
        <b/>
        <sz val="20"/>
        <rFont val="Times New Roman"/>
        <family val="1"/>
      </rPr>
      <t xml:space="preserve"> </t>
    </r>
    <r>
      <rPr>
        <b/>
        <sz val="20"/>
        <color indexed="9"/>
        <rFont val="Times New Roman"/>
        <family val="1"/>
      </rPr>
      <t>Balance Sheet</t>
    </r>
  </si>
  <si>
    <t>Income Statement</t>
  </si>
  <si>
    <t>Net Sales</t>
  </si>
  <si>
    <t xml:space="preserve">Other Expense (Income) </t>
  </si>
  <si>
    <r>
      <t xml:space="preserve">EBIT </t>
    </r>
    <r>
      <rPr>
        <b/>
        <vertAlign val="superscript"/>
        <sz val="10"/>
        <rFont val="Arial"/>
        <family val="2"/>
      </rPr>
      <t xml:space="preserve">2 3 4 </t>
    </r>
  </si>
  <si>
    <r>
      <t xml:space="preserve">Net Earnings </t>
    </r>
    <r>
      <rPr>
        <b/>
        <vertAlign val="superscript"/>
        <sz val="10"/>
        <rFont val="Arial"/>
        <family val="2"/>
      </rPr>
      <t>2 3</t>
    </r>
  </si>
  <si>
    <r>
      <t xml:space="preserve">EPS </t>
    </r>
    <r>
      <rPr>
        <b/>
        <vertAlign val="superscript"/>
        <sz val="10"/>
        <rFont val="Arial"/>
        <family val="2"/>
      </rPr>
      <t>2 3</t>
    </r>
  </si>
  <si>
    <t>(In Millions, except per share data)</t>
  </si>
  <si>
    <r>
      <t>2</t>
    </r>
    <r>
      <rPr>
        <sz val="10"/>
        <rFont val="Arial"/>
        <family val="2"/>
      </rPr>
      <t xml:space="preserve">  EBIT amounts exclude extraordinary items (net of tax)</t>
    </r>
  </si>
  <si>
    <t xml:space="preserve">   1996 amounts exclude non-recurring merger related costs of $26.6 million ($16.4 million after tax) and an extraordinary item of $12.5 million after tax</t>
  </si>
  <si>
    <r>
      <t xml:space="preserve">4  </t>
    </r>
    <r>
      <rPr>
        <sz val="10"/>
        <rFont val="Arial"/>
        <family val="2"/>
      </rPr>
      <t xml:space="preserve">1978 - 1984 amounts include equity from majority-owned corporations.  </t>
    </r>
  </si>
  <si>
    <t>Measures of Return on Investment</t>
  </si>
  <si>
    <t>Measures of Solvency</t>
  </si>
  <si>
    <t>Current Ratio</t>
  </si>
  <si>
    <t>Inventory Turnover</t>
  </si>
  <si>
    <t>Du Pont Formula</t>
  </si>
  <si>
    <t>Times Interest Earned</t>
  </si>
  <si>
    <t>Asset</t>
  </si>
  <si>
    <t>Leverage</t>
  </si>
  <si>
    <t>Turnover</t>
  </si>
  <si>
    <t>(Dec. 31)</t>
  </si>
  <si>
    <t xml:space="preserve">       Ratios</t>
  </si>
  <si>
    <t>Margins (%)</t>
  </si>
  <si>
    <t xml:space="preserve">Net Earnings </t>
  </si>
  <si>
    <t xml:space="preserve">EBIT </t>
  </si>
  <si>
    <t>Net Income</t>
  </si>
  <si>
    <t xml:space="preserve">EPS </t>
  </si>
  <si>
    <t xml:space="preserve">Dividends </t>
  </si>
  <si>
    <t>1 Year</t>
  </si>
  <si>
    <t xml:space="preserve">       Growth Rates &amp; Margins</t>
  </si>
  <si>
    <t>Equity</t>
  </si>
  <si>
    <t>Net PP&amp;E</t>
  </si>
  <si>
    <t>NOT Split Adjusted</t>
  </si>
  <si>
    <t>Shares</t>
  </si>
  <si>
    <t>Net Int. Exp.</t>
  </si>
  <si>
    <r>
      <t>Inc. Tax</t>
    </r>
    <r>
      <rPr>
        <b/>
        <vertAlign val="superscript"/>
        <sz val="10"/>
        <rFont val="Arial"/>
        <family val="2"/>
      </rPr>
      <t xml:space="preserve"> 2 3</t>
    </r>
  </si>
  <si>
    <t>Share Count (fully diluted)</t>
  </si>
  <si>
    <t>Stock</t>
  </si>
  <si>
    <t>1967 - 1973 SGA &amp; other expense are summed together</t>
  </si>
  <si>
    <t>5:3</t>
  </si>
  <si>
    <t>3:2</t>
  </si>
  <si>
    <t>2:1</t>
  </si>
  <si>
    <t>Liquidity</t>
  </si>
  <si>
    <t>Return on Average Total Capital</t>
  </si>
  <si>
    <t>Trailing P/E Multiple</t>
  </si>
  <si>
    <t>Dividend Yield</t>
  </si>
  <si>
    <t>Tax Rate</t>
  </si>
  <si>
    <t>Return on Sales</t>
  </si>
  <si>
    <t>Return on Average Equity</t>
  </si>
  <si>
    <t>10 Yr</t>
  </si>
  <si>
    <t xml:space="preserve">          % Foreign</t>
  </si>
  <si>
    <t>CAGR</t>
  </si>
  <si>
    <t>After-tax Return on Avg Assets</t>
  </si>
  <si>
    <t>Cash From Operations</t>
  </si>
  <si>
    <t>Investing Activity</t>
  </si>
  <si>
    <t>Financing Activity</t>
  </si>
  <si>
    <t>Measures of Cash Flow</t>
  </si>
  <si>
    <t>Free Cash Flow</t>
  </si>
  <si>
    <t>"Excess" Cash Flow</t>
  </si>
  <si>
    <t>Net Earnings</t>
  </si>
  <si>
    <t>Depre- ciation</t>
  </si>
  <si>
    <t>Amort- ization</t>
  </si>
  <si>
    <t>Working Capital Change</t>
  </si>
  <si>
    <t>Adds to PP&amp;E</t>
  </si>
  <si>
    <t>Acquired Firms, net of cash</t>
  </si>
  <si>
    <t>Debt Added (Repaid)</t>
  </si>
  <si>
    <t>Stock Issued (Bought)</t>
  </si>
  <si>
    <t>Dividends Paid</t>
  </si>
  <si>
    <t>Increase in Cash &amp; Equiv.</t>
  </si>
  <si>
    <t>Cash from Ops</t>
  </si>
  <si>
    <r>
      <t xml:space="preserve">       </t>
    </r>
    <r>
      <rPr>
        <b/>
        <sz val="20"/>
        <color indexed="9"/>
        <rFont val="Times New Roman"/>
        <family val="1"/>
      </rPr>
      <t>Cash Flow</t>
    </r>
  </si>
  <si>
    <t>NOTE:  For years prior to 1988 the format of cash flow reporting was substantially different.</t>
  </si>
  <si>
    <r>
      <t xml:space="preserve">Gross Profit </t>
    </r>
    <r>
      <rPr>
        <b/>
        <vertAlign val="superscript"/>
        <sz val="10"/>
        <rFont val="Arial"/>
        <family val="2"/>
      </rPr>
      <t xml:space="preserve">5 </t>
    </r>
  </si>
  <si>
    <r>
      <t xml:space="preserve">SG&amp;A </t>
    </r>
    <r>
      <rPr>
        <b/>
        <vertAlign val="superscript"/>
        <sz val="10"/>
        <rFont val="Arial"/>
        <family val="2"/>
      </rPr>
      <t xml:space="preserve">5 </t>
    </r>
  </si>
  <si>
    <t>2-Year Average</t>
  </si>
  <si>
    <t>Total Capital</t>
  </si>
  <si>
    <t xml:space="preserve">     Canada and Mexico</t>
  </si>
  <si>
    <t xml:space="preserve">     Europe</t>
  </si>
  <si>
    <t xml:space="preserve">     Other Foreign</t>
  </si>
  <si>
    <t>New Countries Entered</t>
  </si>
  <si>
    <t>Austria</t>
  </si>
  <si>
    <t>Croatia</t>
  </si>
  <si>
    <t>Spain</t>
  </si>
  <si>
    <t>Brazil</t>
  </si>
  <si>
    <t>Australia</t>
  </si>
  <si>
    <t>China</t>
  </si>
  <si>
    <t>Denmark</t>
  </si>
  <si>
    <t>Italy</t>
  </si>
  <si>
    <t>Switzerland</t>
  </si>
  <si>
    <t>Germany</t>
  </si>
  <si>
    <t>Cash &amp; Equiv</t>
  </si>
  <si>
    <t>Accts  &amp; Notes Recvbl</t>
  </si>
  <si>
    <t>Invent.</t>
  </si>
  <si>
    <t>Other &amp; Def. Taxes</t>
  </si>
  <si>
    <t>Net Work Capital</t>
  </si>
  <si>
    <t>Internal</t>
  </si>
  <si>
    <t>Annual Growth</t>
  </si>
  <si>
    <t>Acquired</t>
  </si>
  <si>
    <t xml:space="preserve">For the Period Ending </t>
  </si>
  <si>
    <t>For the Period Ending</t>
  </si>
  <si>
    <t>Total Liab to Assets</t>
  </si>
  <si>
    <t>Per Share Amounts</t>
  </si>
  <si>
    <t>Dividends</t>
  </si>
  <si>
    <t>Market Price, Dec 31</t>
  </si>
  <si>
    <t>Split Adjusted</t>
  </si>
  <si>
    <t>Oper Cash Flow</t>
  </si>
  <si>
    <t>Gross Pr</t>
  </si>
  <si>
    <t>Original</t>
  </si>
  <si>
    <t>S&amp;H</t>
  </si>
  <si>
    <t>Adjust</t>
  </si>
  <si>
    <t>SG&amp;A</t>
  </si>
  <si>
    <t>Accts Payable</t>
  </si>
  <si>
    <t>Curr. Debt</t>
  </si>
  <si>
    <t>Total Curr. Liab.</t>
  </si>
  <si>
    <t>Debt to Total Capital</t>
  </si>
  <si>
    <t xml:space="preserve">         Subtotal - Foreign</t>
  </si>
  <si>
    <t>1 Yr</t>
  </si>
  <si>
    <t>5 Yr</t>
  </si>
  <si>
    <t>Sales Growth</t>
  </si>
  <si>
    <t>20 Yr</t>
  </si>
  <si>
    <t xml:space="preserve">We have attempted to restate prior year cash flows to be somewhat comparable </t>
  </si>
  <si>
    <t>with the current format by adding depreciation and amortization to reported net earnings.</t>
  </si>
  <si>
    <t>Korea</t>
  </si>
  <si>
    <t>Mexico</t>
  </si>
  <si>
    <t>Return on Average Net Assets</t>
  </si>
  <si>
    <r>
      <t xml:space="preserve">Total Capital-
ization </t>
    </r>
    <r>
      <rPr>
        <b/>
        <vertAlign val="superscript"/>
        <sz val="10"/>
        <rFont val="Arial Narrow"/>
        <family val="2"/>
      </rPr>
      <t>2</t>
    </r>
  </si>
  <si>
    <r>
      <t xml:space="preserve">Net Assets </t>
    </r>
    <r>
      <rPr>
        <b/>
        <vertAlign val="superscript"/>
        <sz val="10"/>
        <rFont val="Arial Narrow"/>
        <family val="2"/>
      </rPr>
      <t>4</t>
    </r>
  </si>
  <si>
    <r>
      <t xml:space="preserve">Net Working Capital </t>
    </r>
    <r>
      <rPr>
        <b/>
        <vertAlign val="superscript"/>
        <sz val="10"/>
        <rFont val="Arial Narrow"/>
        <family val="2"/>
      </rPr>
      <t>3</t>
    </r>
  </si>
  <si>
    <r>
      <t>1</t>
    </r>
    <r>
      <rPr>
        <sz val="10"/>
        <rFont val="Arial"/>
        <family val="2"/>
      </rPr>
      <t xml:space="preserve">  CAGR - compound annual growth rate</t>
    </r>
  </si>
  <si>
    <t>Russia</t>
  </si>
  <si>
    <t>Hungary</t>
  </si>
  <si>
    <t>Interest</t>
  </si>
  <si>
    <t>Income</t>
  </si>
  <si>
    <r>
      <t xml:space="preserve">3  </t>
    </r>
    <r>
      <rPr>
        <sz val="10"/>
        <rFont val="Arial"/>
        <family val="2"/>
      </rPr>
      <t>Net working capital = current assets - cash &amp; equivalents - current liabilities + current debt maturities</t>
    </r>
  </si>
  <si>
    <t>South Africa</t>
  </si>
  <si>
    <t>Net Debt to Net Capital</t>
  </si>
  <si>
    <t>1996-2006</t>
  </si>
  <si>
    <r>
      <t xml:space="preserve">Net Debt </t>
    </r>
    <r>
      <rPr>
        <b/>
        <vertAlign val="superscript"/>
        <sz val="10"/>
        <rFont val="Arial Narrow"/>
        <family val="2"/>
      </rPr>
      <t>5</t>
    </r>
  </si>
  <si>
    <r>
      <t xml:space="preserve">6  </t>
    </r>
    <r>
      <rPr>
        <sz val="10"/>
        <rFont val="Arial"/>
        <family val="2"/>
      </rPr>
      <t>Stock-splits occurred on the following dates:  May 13, 1969;  January 15, 1973;  September 29, 1978;  August 26, 1983;  March 14, 1986;  June 15, 1992;  September 15, 1995;  June 15, 1998.</t>
    </r>
  </si>
  <si>
    <t>Continuing Operations</t>
  </si>
  <si>
    <t>United States</t>
  </si>
  <si>
    <t>Canada and Mexico</t>
  </si>
  <si>
    <t>Europe</t>
  </si>
  <si>
    <t>Other Foreign</t>
  </si>
  <si>
    <t>Subtotal - Foreign</t>
  </si>
  <si>
    <t>% Foreign</t>
  </si>
  <si>
    <t>Total</t>
  </si>
  <si>
    <t>India</t>
  </si>
  <si>
    <t>U.K.</t>
  </si>
  <si>
    <t>n/a</t>
  </si>
  <si>
    <r>
      <t>Return on sales</t>
    </r>
    <r>
      <rPr>
        <sz val="10"/>
        <rFont val="Arial"/>
        <family val="2"/>
      </rPr>
      <t xml:space="preserve"> = net earnings / net sales</t>
    </r>
  </si>
  <si>
    <r>
      <t>Asset turnover</t>
    </r>
    <r>
      <rPr>
        <sz val="10"/>
        <rFont val="Arial"/>
        <family val="2"/>
      </rPr>
      <t xml:space="preserve"> = net sales / average total assets</t>
    </r>
  </si>
  <si>
    <r>
      <t>Return on assets</t>
    </r>
    <r>
      <rPr>
        <sz val="10"/>
        <rFont val="Arial"/>
        <family val="2"/>
      </rPr>
      <t xml:space="preserve"> = return on sales x asset turnover</t>
    </r>
  </si>
  <si>
    <r>
      <t>Leverage</t>
    </r>
    <r>
      <rPr>
        <sz val="10"/>
        <rFont val="Arial"/>
        <family val="2"/>
      </rPr>
      <t xml:space="preserve"> = average total assets / average shareholders equity</t>
    </r>
  </si>
  <si>
    <r>
      <t>Return on equity</t>
    </r>
    <r>
      <rPr>
        <sz val="10"/>
        <rFont val="Arial"/>
        <family val="2"/>
      </rPr>
      <t xml:space="preserve"> = return on assets x leverage</t>
    </r>
  </si>
  <si>
    <r>
      <t>Current ratio</t>
    </r>
    <r>
      <rPr>
        <sz val="10"/>
        <color indexed="17"/>
        <rFont val="Arial"/>
        <family val="2"/>
      </rPr>
      <t xml:space="preserve"> </t>
    </r>
    <r>
      <rPr>
        <sz val="10"/>
        <rFont val="Arial"/>
        <family val="2"/>
      </rPr>
      <t>= current assets / current liabilities</t>
    </r>
  </si>
  <si>
    <r>
      <t>Inventory turnover</t>
    </r>
    <r>
      <rPr>
        <sz val="10"/>
        <color indexed="17"/>
        <rFont val="Arial"/>
        <family val="2"/>
      </rPr>
      <t xml:space="preserve"> </t>
    </r>
    <r>
      <rPr>
        <sz val="10"/>
        <rFont val="Arial"/>
        <family val="2"/>
      </rPr>
      <t>= cost of goods sold (net sales - gross profit) / average inventory</t>
    </r>
  </si>
  <si>
    <r>
      <t>Return on average net assets</t>
    </r>
    <r>
      <rPr>
        <sz val="10"/>
        <rFont val="Arial"/>
        <family val="2"/>
      </rPr>
      <t xml:space="preserve"> = EBIT / average net assets (I.e. total capital - cash + current debt maturities)</t>
    </r>
  </si>
  <si>
    <r>
      <t>P/E multiple</t>
    </r>
    <r>
      <rPr>
        <sz val="10"/>
        <rFont val="Arial"/>
        <family val="2"/>
      </rPr>
      <t xml:space="preserve"> = market price per share on Dec. 31 / trailing 12 month earnings per share</t>
    </r>
  </si>
  <si>
    <r>
      <t>Dividend yield</t>
    </r>
    <r>
      <rPr>
        <sz val="10"/>
        <rFont val="Arial"/>
        <family val="2"/>
      </rPr>
      <t xml:space="preserve"> = dividend per share / market price per share on Dec. 31</t>
    </r>
  </si>
  <si>
    <r>
      <t>Payout ratio to common</t>
    </r>
    <r>
      <rPr>
        <sz val="10"/>
        <rFont val="Arial"/>
        <family val="2"/>
      </rPr>
      <t xml:space="preserve"> = dividend per share / average earnings per share</t>
    </r>
  </si>
  <si>
    <r>
      <t>Total liab to assets</t>
    </r>
    <r>
      <rPr>
        <sz val="10"/>
        <rFont val="Arial"/>
        <family val="2"/>
      </rPr>
      <t xml:space="preserve"> = total liab / total assets; liab = CL + LT Debt + Other Liab + Def Tax</t>
    </r>
  </si>
  <si>
    <r>
      <t>Net Debt to Net Capital</t>
    </r>
    <r>
      <rPr>
        <sz val="10"/>
        <rFont val="Arial"/>
        <family val="2"/>
      </rPr>
      <t xml:space="preserve"> = (total debt - cash) / (total capital - cash)</t>
    </r>
  </si>
  <si>
    <r>
      <t>Times interest earned</t>
    </r>
    <r>
      <rPr>
        <sz val="10"/>
        <rFont val="Arial"/>
        <family val="2"/>
      </rPr>
      <t xml:space="preserve"> = income before interest expense &amp; taxes / </t>
    </r>
    <r>
      <rPr>
        <sz val="10"/>
        <color indexed="10"/>
        <rFont val="Arial"/>
        <family val="2"/>
      </rPr>
      <t>net</t>
    </r>
    <r>
      <rPr>
        <sz val="10"/>
        <rFont val="Arial"/>
        <family val="2"/>
      </rPr>
      <t xml:space="preserve"> interest expense</t>
    </r>
  </si>
  <si>
    <r>
      <t xml:space="preserve">5  </t>
    </r>
    <r>
      <rPr>
        <sz val="10"/>
        <rFont val="Arial"/>
        <family val="2"/>
      </rPr>
      <t>Beginning in 2002, shipping &amp; handling expense is included in COGS. In prior years, this expense was included in SG&amp;A.  Amounts on this schedule have been restated back to 1979 to reflect the reclass.</t>
    </r>
  </si>
  <si>
    <t>Gross Profit</t>
  </si>
  <si>
    <t>Splits</t>
  </si>
  <si>
    <r>
      <t xml:space="preserve">Splits </t>
    </r>
    <r>
      <rPr>
        <b/>
        <vertAlign val="superscript"/>
        <sz val="10"/>
        <rFont val="Arial"/>
        <family val="2"/>
      </rPr>
      <t>6</t>
    </r>
  </si>
  <si>
    <t>EBIT</t>
  </si>
  <si>
    <t>Inc. Tax</t>
  </si>
  <si>
    <r>
      <t xml:space="preserve">       </t>
    </r>
    <r>
      <rPr>
        <b/>
        <sz val="20"/>
        <color indexed="9"/>
        <rFont val="Times New Roman"/>
        <family val="1"/>
      </rPr>
      <t>Income Statement  --  Page 1</t>
    </r>
  </si>
  <si>
    <r>
      <t xml:space="preserve">       </t>
    </r>
    <r>
      <rPr>
        <b/>
        <sz val="20"/>
        <color indexed="9"/>
        <rFont val="Times New Roman"/>
        <family val="1"/>
      </rPr>
      <t>Income Statement  --  Page 2</t>
    </r>
  </si>
  <si>
    <r>
      <t xml:space="preserve">3 </t>
    </r>
    <r>
      <rPr>
        <sz val="10"/>
        <rFont val="Arial"/>
        <family val="2"/>
      </rPr>
      <t xml:space="preserve"> 1990 amounts exclude non-recurring restructuring charge of $20.3 million ($14.3 million after tax);</t>
    </r>
  </si>
  <si>
    <t>EPS from Cont. Ops.</t>
  </si>
  <si>
    <t>After-tax Earnings from 
Disc. Ops.</t>
  </si>
  <si>
    <t>Earnings from Continuing Ops.</t>
  </si>
  <si>
    <r>
      <t xml:space="preserve">4  </t>
    </r>
    <r>
      <rPr>
        <sz val="10"/>
        <rFont val="Arial"/>
        <family val="2"/>
      </rPr>
      <t>Net assets = total capitalization - cash &amp; equivalents + current debt maturities</t>
    </r>
  </si>
  <si>
    <t>Africa</t>
  </si>
  <si>
    <t>South</t>
  </si>
  <si>
    <t>Foreign Sales Data</t>
  </si>
  <si>
    <t>Total Shareholder Return (TSR)</t>
  </si>
  <si>
    <r>
      <t>Total shareholder return</t>
    </r>
    <r>
      <rPr>
        <sz val="10"/>
        <rFont val="Arial"/>
        <family val="2"/>
      </rPr>
      <t xml:space="preserve"> = (dividends + change in stock price) / beginning stock price</t>
    </r>
  </si>
  <si>
    <t>3 Year CAGR</t>
  </si>
  <si>
    <t>% U.S.</t>
  </si>
  <si>
    <t>The sales information below is compiled based on the areas we have operations, primarily manufacturing locations.</t>
  </si>
  <si>
    <t xml:space="preserve">Oth. Curr.   </t>
  </si>
  <si>
    <r>
      <t>2005</t>
    </r>
    <r>
      <rPr>
        <vertAlign val="superscript"/>
        <sz val="10"/>
        <rFont val="Arial"/>
        <family val="2"/>
      </rPr>
      <t xml:space="preserve"> 6 7</t>
    </r>
  </si>
  <si>
    <r>
      <t>2006</t>
    </r>
    <r>
      <rPr>
        <vertAlign val="superscript"/>
        <sz val="10"/>
        <rFont val="Arial"/>
        <family val="2"/>
      </rPr>
      <t xml:space="preserve"> 8</t>
    </r>
  </si>
  <si>
    <r>
      <t>2007</t>
    </r>
    <r>
      <rPr>
        <vertAlign val="superscript"/>
        <sz val="10"/>
        <rFont val="Arial"/>
        <family val="2"/>
      </rPr>
      <t xml:space="preserve"> 9</t>
    </r>
  </si>
  <si>
    <r>
      <t xml:space="preserve">7  </t>
    </r>
    <r>
      <rPr>
        <sz val="10"/>
        <rFont val="Arial"/>
        <family val="2"/>
      </rPr>
      <t>2005 has been restated to reflect the reclassification of certain deferred tax assets and liabilities</t>
    </r>
  </si>
  <si>
    <t>Payout Ratio to Common 1 Yr.</t>
  </si>
  <si>
    <t>Historical Data, As Originally Reported</t>
  </si>
  <si>
    <r>
      <t xml:space="preserve"> </t>
    </r>
    <r>
      <rPr>
        <b/>
        <sz val="10"/>
        <rFont val="Arial"/>
        <family val="2"/>
      </rPr>
      <t>Free Cash Flow</t>
    </r>
    <r>
      <rPr>
        <sz val="10"/>
        <rFont val="Arial"/>
        <family val="2"/>
      </rPr>
      <t xml:space="preserve"> = Cash From Operations - Adds to PP&amp;E</t>
    </r>
  </si>
  <si>
    <r>
      <t>"Excess" Cash Flow</t>
    </r>
    <r>
      <rPr>
        <sz val="10"/>
        <rFont val="Arial"/>
        <family val="2"/>
      </rPr>
      <t xml:space="preserve"> = Cash From Operations - Adds to PP&amp;E - Cash Spent on Acquisitions - Dividends</t>
    </r>
  </si>
  <si>
    <r>
      <t xml:space="preserve">6  </t>
    </r>
    <r>
      <rPr>
        <sz val="10"/>
        <rFont val="Arial"/>
        <family val="2"/>
      </rPr>
      <t>2005 excludes "held for sale" amounts as follows: current assets = $333.1, total assets = $733.4, current liabilities = $73.9, non-current liabilities = $1.3, equity = $658.2</t>
    </r>
  </si>
  <si>
    <r>
      <t xml:space="preserve">8  </t>
    </r>
    <r>
      <rPr>
        <sz val="10"/>
        <rFont val="Arial"/>
        <family val="2"/>
      </rPr>
      <t>2006 excludes "held for sale" amounts as follows: current assets = $339.2, total assets = $765.5, current liabilities = $73.4, non-current liabilities = $1.0, equity = $691.1</t>
    </r>
  </si>
  <si>
    <r>
      <t xml:space="preserve">9  </t>
    </r>
    <r>
      <rPr>
        <sz val="10"/>
        <rFont val="Arial"/>
        <family val="2"/>
      </rPr>
      <t>2007 excludes "held for sale" amounts as follows: current assets = $303.1, total assets = $576.7, current liabilities = $77.5, non-current liabilities = $1.0, equity = $498.2</t>
    </r>
  </si>
  <si>
    <r>
      <t xml:space="preserve">1, 5, and 10 Year Growth - CAGR (%) </t>
    </r>
    <r>
      <rPr>
        <b/>
        <vertAlign val="superscript"/>
        <sz val="12"/>
        <rFont val="Arial"/>
        <family val="2"/>
      </rPr>
      <t>1</t>
    </r>
  </si>
  <si>
    <t>Dep. &amp; Amort.</t>
  </si>
  <si>
    <t>EBITDA</t>
  </si>
  <si>
    <r>
      <t xml:space="preserve">Share Count </t>
    </r>
    <r>
      <rPr>
        <b/>
        <vertAlign val="superscript"/>
        <sz val="10"/>
        <rFont val="Arial"/>
        <family val="2"/>
      </rPr>
      <t>7</t>
    </r>
    <r>
      <rPr>
        <b/>
        <sz val="10"/>
        <rFont val="Arial"/>
        <family val="2"/>
      </rPr>
      <t xml:space="preserve"> (fully diluted)</t>
    </r>
  </si>
  <si>
    <r>
      <t xml:space="preserve">7  </t>
    </r>
    <r>
      <rPr>
        <sz val="10"/>
        <rFont val="Arial"/>
        <family val="2"/>
      </rPr>
      <t>Leggett &amp; Platt's IPO (as NYSE symbol: LEG) was 50,000 shares in 1967.  Leggett publicly issued additional shares as follows:  175,000 shares in 1969; 175,000 shares in 1972; and 313,500 shares in 1983.</t>
    </r>
  </si>
  <si>
    <r>
      <t xml:space="preserve">10  </t>
    </r>
    <r>
      <rPr>
        <sz val="10"/>
        <rFont val="Arial"/>
        <family val="2"/>
      </rPr>
      <t>2008 excludes "held for sale" amounts as follows: current assets = $31.0, total assets = $61.2, current liabilities = $7.4, equity = $53.8</t>
    </r>
  </si>
  <si>
    <r>
      <t>2008</t>
    </r>
    <r>
      <rPr>
        <vertAlign val="superscript"/>
        <sz val="10"/>
        <rFont val="Arial"/>
        <family val="2"/>
      </rPr>
      <t xml:space="preserve"> 10</t>
    </r>
  </si>
  <si>
    <t>Less: Non-Controlling Interests</t>
  </si>
  <si>
    <t>Net Earnings Attributable to Leggett</t>
  </si>
  <si>
    <r>
      <t xml:space="preserve">11  </t>
    </r>
    <r>
      <rPr>
        <sz val="10"/>
        <rFont val="Arial"/>
        <family val="2"/>
      </rPr>
      <t>2009 excludes "held for sale" amounts as follows: current assets = $16.4, total assets = $43.6, current liabilities = $3.2, equity = $40.4</t>
    </r>
  </si>
  <si>
    <r>
      <t>2009</t>
    </r>
    <r>
      <rPr>
        <vertAlign val="superscript"/>
        <sz val="10"/>
        <rFont val="Arial"/>
        <family val="2"/>
      </rPr>
      <t xml:space="preserve"> 11</t>
    </r>
  </si>
  <si>
    <t>France</t>
  </si>
  <si>
    <t>nm</t>
  </si>
  <si>
    <t>Continuing Operations (see explanation below)</t>
  </si>
  <si>
    <t>Adjusted Continuing Operations (see explanation below)</t>
  </si>
  <si>
    <t>In late 2007, we announced the decision to divest seven businesses. Income statements for 2002 through 2008 reflect those businesses as discontinued operations.</t>
  </si>
  <si>
    <r>
      <t xml:space="preserve">1  </t>
    </r>
    <r>
      <rPr>
        <b/>
        <sz val="12"/>
        <rFont val="Arial"/>
        <family val="2"/>
      </rPr>
      <t>Amounts as originally reported (unless stated otherwise)</t>
    </r>
  </si>
  <si>
    <r>
      <t>1</t>
    </r>
    <r>
      <rPr>
        <b/>
        <sz val="12"/>
        <rFont val="Arial"/>
        <family val="2"/>
      </rPr>
      <t xml:space="preserve">  As originally reported (unless stated otherwise)</t>
    </r>
  </si>
  <si>
    <t>Because of the lack of historically comparable data, 5 yr and 10 yr earnings CAGRs are limited in recent years (as indicated by the 'nm' references in the table above).</t>
  </si>
  <si>
    <t>In late 2007, we announced the decision to divest seven businesses. Income statements and balance sheets for 2005 through 2008 reflect those businesses as discontinued</t>
  </si>
  <si>
    <t>The Company's operations outside of the United States are principally in Europe, China, Canada, and Mexico.</t>
  </si>
  <si>
    <t>but balance sheets have not been adjusted for this change. Therefore, turnover and returns for 2009-2014 are slightly understated.</t>
  </si>
  <si>
    <t>Stock Price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</si>
  <si>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Sales for 2011-2014 reflect Store Fixtures as discontinued operations.</t>
    </r>
  </si>
  <si>
    <t>In 2014, we divested the majority of the Store Fixtures business. Income statements for 2009 through 2014 reflect that business as discontinued operations.</t>
  </si>
  <si>
    <t xml:space="preserve">operations. In 2014, we divested the majority of the Store Fixtures business. Income statements for 2009 through 2014 reflect that business as discontinued operations, </t>
  </si>
  <si>
    <t>Poland</t>
  </si>
  <si>
    <t>"Adjusted Continuing Operations" also exclude unusual items from earnings to better reflect operating performance in each year. See Appendix - Non-GAAP Adjustments.</t>
  </si>
  <si>
    <t>"Adjusted Continuing Operations" also exclude unusual items to better reflect operating performance in each year.  See Appendix - Non-GAAP Adjustments.</t>
  </si>
  <si>
    <r>
      <t>Adjusted Continuing Operations</t>
    </r>
    <r>
      <rPr>
        <b/>
        <sz val="14"/>
        <color indexed="9"/>
        <rFont val="Times New Roman"/>
        <family val="1"/>
      </rPr>
      <t xml:space="preserve"> (see explanation below)</t>
    </r>
  </si>
  <si>
    <t>50 Yr</t>
  </si>
  <si>
    <r>
      <t xml:space="preserve">20 and 50 Year Growth (based on 2017 data) - CAGR (%) </t>
    </r>
    <r>
      <rPr>
        <b/>
        <vertAlign val="superscript"/>
        <sz val="12"/>
        <rFont val="Arial"/>
        <family val="2"/>
      </rPr>
      <t>1</t>
    </r>
  </si>
  <si>
    <r>
      <t>2</t>
    </r>
    <r>
      <rPr>
        <sz val="10"/>
        <rFont val="Arial"/>
        <family val="2"/>
      </rPr>
      <t xml:space="preserve">  Total capitalization = long-term debt + other liabilities &amp; deferred taxes + shareholders equity</t>
    </r>
  </si>
  <si>
    <r>
      <t xml:space="preserve">5  </t>
    </r>
    <r>
      <rPr>
        <sz val="10"/>
        <rFont val="Arial"/>
        <family val="2"/>
      </rPr>
      <t>Net debt = long-term debt - cash &amp; equivalents + current debt maturities</t>
    </r>
  </si>
  <si>
    <r>
      <t>Debt to total capital</t>
    </r>
    <r>
      <rPr>
        <sz val="10"/>
        <rFont val="Arial"/>
        <family val="2"/>
      </rPr>
      <t xml:space="preserve"> = total debt (long-term debt + current debt) / total capital (long-term debt + current debt + other liabilities &amp; deferred taxes + shareholders equity)</t>
    </r>
  </si>
  <si>
    <r>
      <t>Return on average total capital</t>
    </r>
    <r>
      <rPr>
        <sz val="10"/>
        <rFont val="Arial"/>
        <family val="2"/>
      </rPr>
      <t xml:space="preserve"> = (net earnings + after tax interest expense) / average total capital (i.e. long-term debt + other liabilities &amp; deferred taxes + shareholders equity)</t>
    </r>
  </si>
  <si>
    <t>2007-2017</t>
  </si>
  <si>
    <t>51 Year Financial History</t>
  </si>
  <si>
    <t>Reconciliation of Reported (GAAP) to Adjusted (non-GAAP) Financial Measures</t>
  </si>
  <si>
    <t>(Dollar amounts in millions, except per share data)</t>
  </si>
  <si>
    <t>2005</t>
  </si>
  <si>
    <t>2006</t>
  </si>
  <si>
    <r>
      <t xml:space="preserve">2007 </t>
    </r>
    <r>
      <rPr>
        <b/>
        <vertAlign val="superscript"/>
        <sz val="9"/>
        <color theme="1"/>
        <rFont val="Calibri"/>
        <family val="2"/>
        <scheme val="minor"/>
      </rPr>
      <t>1</t>
    </r>
  </si>
  <si>
    <r>
      <t xml:space="preserve">2008 </t>
    </r>
    <r>
      <rPr>
        <b/>
        <vertAlign val="superscript"/>
        <sz val="9"/>
        <color theme="1"/>
        <rFont val="Calibri"/>
        <family val="2"/>
        <scheme val="minor"/>
      </rPr>
      <t>2</t>
    </r>
  </si>
  <si>
    <r>
      <t xml:space="preserve">2009 </t>
    </r>
    <r>
      <rPr>
        <b/>
        <vertAlign val="superscript"/>
        <sz val="9"/>
        <color theme="1"/>
        <rFont val="Calibri"/>
        <family val="2"/>
        <scheme val="minor"/>
      </rPr>
      <t>3</t>
    </r>
  </si>
  <si>
    <t>2010</t>
  </si>
  <si>
    <r>
      <t xml:space="preserve">2011 </t>
    </r>
    <r>
      <rPr>
        <b/>
        <vertAlign val="superscript"/>
        <sz val="9"/>
        <color theme="1"/>
        <rFont val="Calibri"/>
        <family val="2"/>
        <scheme val="minor"/>
      </rPr>
      <t>4</t>
    </r>
  </si>
  <si>
    <r>
      <t xml:space="preserve">2012 </t>
    </r>
    <r>
      <rPr>
        <b/>
        <vertAlign val="superscript"/>
        <sz val="9"/>
        <color theme="1"/>
        <rFont val="Calibri"/>
        <family val="2"/>
        <scheme val="minor"/>
      </rPr>
      <t>5</t>
    </r>
  </si>
  <si>
    <r>
      <t xml:space="preserve">2013 </t>
    </r>
    <r>
      <rPr>
        <b/>
        <vertAlign val="superscript"/>
        <sz val="9"/>
        <color theme="1"/>
        <rFont val="Calibri"/>
        <family val="2"/>
        <scheme val="minor"/>
      </rPr>
      <t>6</t>
    </r>
  </si>
  <si>
    <r>
      <t xml:space="preserve">2014 </t>
    </r>
    <r>
      <rPr>
        <b/>
        <vertAlign val="superscript"/>
        <sz val="9"/>
        <color theme="1"/>
        <rFont val="Calibri"/>
        <family val="2"/>
        <scheme val="minor"/>
      </rPr>
      <t>7</t>
    </r>
  </si>
  <si>
    <r>
      <t xml:space="preserve">2015 </t>
    </r>
    <r>
      <rPr>
        <b/>
        <vertAlign val="superscript"/>
        <sz val="9"/>
        <color theme="1"/>
        <rFont val="Calibri"/>
        <family val="2"/>
        <scheme val="minor"/>
      </rPr>
      <t>8</t>
    </r>
  </si>
  <si>
    <r>
      <t xml:space="preserve">2016 </t>
    </r>
    <r>
      <rPr>
        <b/>
        <vertAlign val="superscript"/>
        <sz val="9"/>
        <color theme="1"/>
        <rFont val="Calibri"/>
        <family val="2"/>
        <scheme val="minor"/>
      </rPr>
      <t>9</t>
    </r>
  </si>
  <si>
    <r>
      <t xml:space="preserve">2017 </t>
    </r>
    <r>
      <rPr>
        <b/>
        <vertAlign val="superscript"/>
        <sz val="9"/>
        <color theme="1"/>
        <rFont val="Calibri"/>
        <family val="2"/>
        <scheme val="minor"/>
      </rPr>
      <t>10</t>
    </r>
  </si>
  <si>
    <t>Non-GAAP adjustments, Continuing Operations</t>
  </si>
  <si>
    <t>Gain/loss from sale of real est and/or businesses</t>
  </si>
  <si>
    <t>Unusual worker's compensation charges</t>
  </si>
  <si>
    <t>Discontinued ops overhead</t>
  </si>
  <si>
    <t>Unusual bad debt expense</t>
  </si>
  <si>
    <t>Note write-off from divested business</t>
  </si>
  <si>
    <t>Benefit from litigation settlement proceeds</t>
  </si>
  <si>
    <t>Impairment charges</t>
  </si>
  <si>
    <t>Pension settlement charge</t>
  </si>
  <si>
    <t>Litigation accrual</t>
  </si>
  <si>
    <t>Acquisition-related bargain purchase gain</t>
  </si>
  <si>
    <t>Restructuring-related charges</t>
  </si>
  <si>
    <t>Non-GAAP adjustments, pre-tax</t>
  </si>
  <si>
    <t>Income tax impact</t>
  </si>
  <si>
    <t>Special tax items</t>
  </si>
  <si>
    <t>Non-GAAP adjustments, after tax</t>
  </si>
  <si>
    <t>Diluted shares outstanding</t>
  </si>
  <si>
    <t>EPS impact of non-GAAP adjustments</t>
  </si>
  <si>
    <r>
      <t xml:space="preserve">1  </t>
    </r>
    <r>
      <rPr>
        <sz val="9"/>
        <rFont val="Calibri"/>
        <family val="2"/>
        <scheme val="minor"/>
      </rPr>
      <t>2007 adjustments were primarily in 4Q.</t>
    </r>
  </si>
  <si>
    <r>
      <t xml:space="preserve">2  </t>
    </r>
    <r>
      <rPr>
        <sz val="9"/>
        <rFont val="Calibri"/>
        <family val="2"/>
        <scheme val="minor"/>
      </rPr>
      <t>2008 adjustments were primarily in 4Q.</t>
    </r>
  </si>
  <si>
    <r>
      <t xml:space="preserve">5  </t>
    </r>
    <r>
      <rPr>
        <sz val="9"/>
        <rFont val="Calibri"/>
        <family val="2"/>
        <scheme val="minor"/>
      </rPr>
      <t xml:space="preserve">2009 adjustments: Bad debt expense was in 1Q, write-down of divestiture note was in 2Q, and unusual tax items were in 4Q. </t>
    </r>
  </si>
  <si>
    <r>
      <t xml:space="preserve">4  </t>
    </r>
    <r>
      <rPr>
        <sz val="9"/>
        <rFont val="Calibri"/>
        <family val="2"/>
        <scheme val="minor"/>
      </rPr>
      <t>2011 adjustments were in 4Q.</t>
    </r>
  </si>
  <si>
    <r>
      <t xml:space="preserve">5  </t>
    </r>
    <r>
      <rPr>
        <sz val="9"/>
        <rFont val="Calibri"/>
        <family val="2"/>
        <scheme val="minor"/>
      </rPr>
      <t>2012 adjustments were in 4Q.</t>
    </r>
  </si>
  <si>
    <r>
      <rPr>
        <vertAlign val="superscript"/>
        <sz val="9"/>
        <color theme="1"/>
        <rFont val="Calibri"/>
        <family val="2"/>
        <scheme val="minor"/>
      </rPr>
      <t>6</t>
    </r>
    <r>
      <rPr>
        <sz val="9"/>
        <color theme="1"/>
        <rFont val="Calibri"/>
        <family val="2"/>
        <scheme val="minor"/>
      </rPr>
      <t xml:space="preserve"> 2013 adjustments: Impairment charge was in Specialized Products - 4Q; acq-related purch gain was below segments - 3Q.</t>
    </r>
  </si>
  <si>
    <r>
      <rPr>
        <vertAlign val="superscript"/>
        <sz val="9"/>
        <color theme="1"/>
        <rFont val="Calibri"/>
        <family val="2"/>
        <scheme val="minor"/>
      </rPr>
      <t>7</t>
    </r>
    <r>
      <rPr>
        <sz val="9"/>
        <color theme="1"/>
        <rFont val="Calibri"/>
        <family val="2"/>
        <scheme val="minor"/>
      </rPr>
      <t xml:space="preserve"> 2014 adjustments: Litigation accrual was in Residential Products - $32m in 3Q and $22m in 4Q.</t>
    </r>
  </si>
  <si>
    <r>
      <rPr>
        <vertAlign val="superscript"/>
        <sz val="9"/>
        <color theme="1"/>
        <rFont val="Calibri"/>
        <family val="2"/>
        <scheme val="minor"/>
      </rPr>
      <t>8</t>
    </r>
    <r>
      <rPr>
        <sz val="9"/>
        <color theme="1"/>
        <rFont val="Calibri"/>
        <family val="2"/>
        <scheme val="minor"/>
      </rPr>
      <t xml:space="preserve"> 2015 adjustments: Litigation accrual was in Residential Products - $2m in 2Q and $4m in 4Q; </t>
    </r>
  </si>
  <si>
    <t xml:space="preserve">    Impairment charge was in Industrial Products - 1Q; and pension buyout was below segments - 4Q.</t>
  </si>
  <si>
    <r>
      <rPr>
        <vertAlign val="superscript"/>
        <sz val="9"/>
        <color theme="1"/>
        <rFont val="Calibri"/>
        <family val="2"/>
        <scheme val="minor"/>
      </rPr>
      <t>9</t>
    </r>
    <r>
      <rPr>
        <sz val="9"/>
        <color theme="1"/>
        <rFont val="Calibri"/>
        <family val="2"/>
        <scheme val="minor"/>
      </rPr>
      <t xml:space="preserve"> 2016 adjustments: Divestiture gains of $11m in Specialized Products - 2Q and $16m in Industrial Products - 4Q; </t>
    </r>
  </si>
  <si>
    <t xml:space="preserve">    Impairment charge in Specialized Products - 2Q; and litigation settlement gain in Residential Products - 2Q.</t>
  </si>
  <si>
    <r>
      <rPr>
        <vertAlign val="superscript"/>
        <sz val="9"/>
        <color theme="1"/>
        <rFont val="Calibri"/>
        <family val="2"/>
        <scheme val="minor"/>
      </rPr>
      <t xml:space="preserve">10 </t>
    </r>
    <r>
      <rPr>
        <sz val="9"/>
        <color theme="1"/>
        <rFont val="Calibri"/>
        <family val="2"/>
        <scheme val="minor"/>
      </rPr>
      <t xml:space="preserve">2017 adjustments: Divestiture loss of $3m in Specialized Products - 3Q and real estate gain of $23m in Specialized Products - 4Q; </t>
    </r>
  </si>
  <si>
    <t xml:space="preserve">   Impairment charge in Industrial Products - 3Q and pension settlement charge in Q4; Divestiture tax benefit in Specialized Products of $6m in Q3 and $2m in Q4;</t>
  </si>
  <si>
    <t xml:space="preserve">   Tax Cuts and Jobs Act impact of $50m in Q4.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</si>
</sst>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_);\(0.0\)"/>
    <numFmt numFmtId="166" formatCode="_(* #,##0.0_);_(* \(#,##0.0\);_(* &quot;-&quot;??_);_(@_)"/>
    <numFmt numFmtId="167" formatCode="0.0"/>
    <numFmt numFmtId="168" formatCode="_(* #,##0.0_);_(* \(#,##0.0\);_(* &quot;-&quot;?_);_(@_)"/>
    <numFmt numFmtId="169" formatCode="_(* #,##0_);_(* \(#,##0\);_(* &quot;-&quot;??_);_(@_)"/>
    <numFmt numFmtId="170" formatCode="_(* #,##0.000_);_(* \(#,##0.000\);_(* &quot;-&quot;??_);_(@_)"/>
    <numFmt numFmtId="171" formatCode="0.000"/>
    <numFmt numFmtId="172" formatCode="0_);[Red]\(0\)"/>
    <numFmt numFmtId="173" formatCode="0.0_);[Red]\(0.0\)"/>
    <numFmt numFmtId="174" formatCode="0.0%"/>
    <numFmt numFmtId="175" formatCode="_(* #,##0.0000_);_(* \(#,##0.0000\);_(* &quot;-&quot;??_);_(@_)"/>
    <numFmt numFmtId="176" formatCode="0.00_);\(0.00\)"/>
    <numFmt numFmtId="177" formatCode="0.000_);\(0.000\)"/>
    <numFmt numFmtId="178" formatCode="#,##0.0_);\(#,##0.0\)"/>
    <numFmt numFmtId="179" formatCode="0.0%_);[Red]\(0.0%\)"/>
    <numFmt numFmtId="180" formatCode="_(&quot;$&quot;* #,##0.0_);_(&quot;$&quot;* \(#,##0.0\);_(&quot;$&quot;* &quot;-&quot;??_);_(@_)"/>
  </numFmts>
  <fonts count="56" x14ac:knownFonts="1">
    <font>
      <sz val="10"/>
      <name val="Arial"/>
    </font>
    <font>
      <sz val="10"/>
      <name val="Arial"/>
      <family val="2"/>
    </font>
    <font>
      <b/>
      <sz val="24"/>
      <color indexed="9"/>
      <name val="Bookman Old Style"/>
      <family val="1"/>
    </font>
    <font>
      <b/>
      <sz val="10"/>
      <name val="Arial"/>
      <family val="2"/>
    </font>
    <font>
      <sz val="10"/>
      <name val="Arial"/>
      <family val="2"/>
    </font>
    <font>
      <b/>
      <sz val="22"/>
      <color indexed="9"/>
      <name val="Bookman Old Style"/>
      <family val="1"/>
    </font>
    <font>
      <sz val="12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indexed="12"/>
      <name val="Arial"/>
      <family val="2"/>
    </font>
    <font>
      <b/>
      <sz val="24"/>
      <name val="Bookman Old Style"/>
      <family val="1"/>
    </font>
    <font>
      <sz val="20"/>
      <name val="Times New Roman"/>
      <family val="1"/>
    </font>
    <font>
      <b/>
      <sz val="20"/>
      <name val="Times New Roman"/>
      <family val="1"/>
    </font>
    <font>
      <b/>
      <sz val="20"/>
      <color indexed="9"/>
      <name val="Times New Roman"/>
      <family val="1"/>
    </font>
    <font>
      <b/>
      <sz val="18"/>
      <color indexed="9"/>
      <name val="Times New Roman"/>
      <family val="1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i/>
      <sz val="9"/>
      <name val="Arial"/>
      <family val="2"/>
    </font>
    <font>
      <b/>
      <u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vertAlign val="superscript"/>
      <sz val="10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22"/>
      <color indexed="9"/>
      <name val="Bookman Old Style"/>
      <family val="1"/>
    </font>
    <font>
      <sz val="10"/>
      <color indexed="8"/>
      <name val="Arial"/>
      <family val="2"/>
    </font>
    <font>
      <b/>
      <sz val="14"/>
      <color indexed="9"/>
      <name val="Times New Roman"/>
      <family val="1"/>
    </font>
    <font>
      <sz val="10"/>
      <name val="Arial"/>
      <family val="2"/>
    </font>
    <font>
      <sz val="10"/>
      <color indexed="17"/>
      <name val="Arial"/>
      <family val="2"/>
    </font>
    <font>
      <b/>
      <sz val="10"/>
      <color indexed="17"/>
      <name val="Arial"/>
      <family val="2"/>
    </font>
    <font>
      <i/>
      <sz val="9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color theme="0"/>
      <name val="Arial"/>
      <family val="2"/>
    </font>
    <font>
      <sz val="13"/>
      <name val="Arial"/>
      <family val="2"/>
    </font>
    <font>
      <b/>
      <sz val="13"/>
      <color theme="0"/>
      <name val="Arial"/>
      <family val="2"/>
    </font>
    <font>
      <sz val="13"/>
      <color theme="0"/>
      <name val="Arial"/>
      <family val="2"/>
    </font>
    <font>
      <b/>
      <sz val="13.5"/>
      <color theme="0"/>
      <name val="Arial"/>
      <family val="2"/>
    </font>
    <font>
      <b/>
      <i/>
      <sz val="9"/>
      <name val="Arial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6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0" fontId="4" fillId="0" borderId="0" xfId="0" applyFont="1"/>
    <xf numFmtId="0" fontId="0" fillId="0" borderId="2" xfId="0" applyBorder="1"/>
    <xf numFmtId="0" fontId="0" fillId="0" borderId="0" xfId="0" applyBorder="1" applyAlignment="1">
      <alignment horizontal="center" wrapText="1"/>
    </xf>
    <xf numFmtId="0" fontId="6" fillId="0" borderId="0" xfId="0" applyFont="1"/>
    <xf numFmtId="0" fontId="3" fillId="0" borderId="0" xfId="0" applyFont="1"/>
    <xf numFmtId="0" fontId="3" fillId="0" borderId="1" xfId="0" applyFont="1" applyBorder="1" applyAlignment="1">
      <alignment horizontal="right"/>
    </xf>
    <xf numFmtId="0" fontId="3" fillId="2" borderId="0" xfId="0" applyFont="1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166" fontId="0" fillId="0" borderId="0" xfId="1" applyNumberFormat="1" applyFont="1" applyBorder="1" applyAlignment="1">
      <alignment horizontal="right" wrapText="1"/>
    </xf>
    <xf numFmtId="0" fontId="4" fillId="2" borderId="0" xfId="0" applyFont="1" applyFill="1" applyBorder="1" applyAlignment="1">
      <alignment horizontal="center" wrapText="1"/>
    </xf>
    <xf numFmtId="0" fontId="8" fillId="0" borderId="0" xfId="0" applyFont="1" applyAlignment="1"/>
    <xf numFmtId="0" fontId="0" fillId="0" borderId="0" xfId="0" applyAlignment="1"/>
    <xf numFmtId="0" fontId="8" fillId="0" borderId="0" xfId="0" applyFont="1"/>
    <xf numFmtId="169" fontId="0" fillId="0" borderId="0" xfId="1" applyNumberFormat="1" applyFont="1" applyBorder="1" applyAlignment="1">
      <alignment horizontal="center"/>
    </xf>
    <xf numFmtId="43" fontId="0" fillId="0" borderId="0" xfId="1" applyNumberFormat="1" applyFont="1" applyBorder="1" applyAlignment="1">
      <alignment horizontal="left"/>
    </xf>
    <xf numFmtId="0" fontId="9" fillId="0" borderId="0" xfId="0" applyFont="1" applyBorder="1" applyAlignment="1">
      <alignment horizontal="center" wrapText="1"/>
    </xf>
    <xf numFmtId="16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43" fontId="0" fillId="0" borderId="0" xfId="1" applyNumberFormat="1" applyFont="1" applyBorder="1" applyAlignment="1">
      <alignment horizontal="right"/>
    </xf>
    <xf numFmtId="0" fontId="0" fillId="2" borderId="0" xfId="0" applyFill="1" applyBorder="1"/>
    <xf numFmtId="0" fontId="3" fillId="0" borderId="0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/>
    </xf>
    <xf numFmtId="43" fontId="0" fillId="0" borderId="0" xfId="1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left"/>
    </xf>
    <xf numFmtId="0" fontId="0" fillId="0" borderId="0" xfId="0" applyFill="1" applyAlignment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3" borderId="0" xfId="0" applyFill="1"/>
    <xf numFmtId="0" fontId="10" fillId="3" borderId="0" xfId="0" applyFont="1" applyFill="1"/>
    <xf numFmtId="0" fontId="2" fillId="3" borderId="0" xfId="0" applyFont="1" applyFill="1"/>
    <xf numFmtId="0" fontId="12" fillId="3" borderId="0" xfId="0" applyFont="1" applyFill="1"/>
    <xf numFmtId="0" fontId="3" fillId="2" borderId="1" xfId="0" applyFont="1" applyFill="1" applyBorder="1" applyAlignment="1">
      <alignment horizontal="center" wrapText="1"/>
    </xf>
    <xf numFmtId="0" fontId="0" fillId="2" borderId="1" xfId="0" applyFill="1" applyBorder="1"/>
    <xf numFmtId="0" fontId="3" fillId="0" borderId="4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0" fillId="0" borderId="3" xfId="0" applyFill="1" applyBorder="1" applyAlignment="1">
      <alignment horizontal="center" wrapText="1"/>
    </xf>
    <xf numFmtId="0" fontId="14" fillId="3" borderId="0" xfId="0" applyFont="1" applyFill="1"/>
    <xf numFmtId="0" fontId="13" fillId="3" borderId="0" xfId="0" applyFont="1" applyFill="1"/>
    <xf numFmtId="172" fontId="0" fillId="0" borderId="0" xfId="0" applyNumberFormat="1"/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72" fontId="3" fillId="0" borderId="4" xfId="0" applyNumberFormat="1" applyFont="1" applyFill="1" applyBorder="1" applyAlignment="1">
      <alignment horizontal="center"/>
    </xf>
    <xf numFmtId="172" fontId="0" fillId="3" borderId="0" xfId="0" applyNumberFormat="1" applyFill="1"/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166" fontId="6" fillId="0" borderId="9" xfId="1" applyNumberFormat="1" applyFont="1" applyBorder="1" applyAlignment="1">
      <alignment horizontal="right" wrapText="1"/>
    </xf>
    <xf numFmtId="164" fontId="3" fillId="0" borderId="0" xfId="0" applyNumberFormat="1" applyFont="1"/>
    <xf numFmtId="0" fontId="17" fillId="0" borderId="0" xfId="0" applyFont="1"/>
    <xf numFmtId="174" fontId="17" fillId="0" borderId="0" xfId="3" applyNumberFormat="1" applyFont="1" applyBorder="1"/>
    <xf numFmtId="0" fontId="3" fillId="0" borderId="0" xfId="0" applyFont="1" applyAlignment="1">
      <alignment horizontal="right"/>
    </xf>
    <xf numFmtId="0" fontId="3" fillId="2" borderId="10" xfId="0" applyFont="1" applyFill="1" applyBorder="1" applyAlignment="1">
      <alignment horizontal="center" wrapText="1"/>
    </xf>
    <xf numFmtId="0" fontId="0" fillId="0" borderId="11" xfId="0" applyBorder="1"/>
    <xf numFmtId="0" fontId="3" fillId="0" borderId="0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right" wrapText="1"/>
    </xf>
    <xf numFmtId="167" fontId="4" fillId="0" borderId="0" xfId="0" applyNumberFormat="1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169" fontId="1" fillId="0" borderId="0" xfId="1" applyNumberFormat="1" applyBorder="1" applyAlignment="1">
      <alignment horizontal="center"/>
    </xf>
    <xf numFmtId="43" fontId="1" fillId="0" borderId="0" xfId="1" applyNumberFormat="1" applyBorder="1" applyAlignment="1">
      <alignment horizontal="left"/>
    </xf>
    <xf numFmtId="169" fontId="1" fillId="0" borderId="0" xfId="1" applyNumberFormat="1" applyFont="1" applyBorder="1" applyAlignment="1">
      <alignment horizontal="center"/>
    </xf>
    <xf numFmtId="43" fontId="1" fillId="0" borderId="0" xfId="1" applyNumberFormat="1" applyBorder="1" applyAlignment="1">
      <alignment horizontal="right"/>
    </xf>
    <xf numFmtId="0" fontId="0" fillId="0" borderId="12" xfId="0" applyBorder="1"/>
    <xf numFmtId="0" fontId="0" fillId="2" borderId="0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164" fontId="4" fillId="0" borderId="0" xfId="0" applyNumberFormat="1" applyFont="1"/>
    <xf numFmtId="164" fontId="3" fillId="0" borderId="0" xfId="2" applyNumberFormat="1" applyFont="1" applyBorder="1"/>
    <xf numFmtId="164" fontId="4" fillId="0" borderId="0" xfId="2" applyNumberFormat="1" applyFont="1" applyBorder="1"/>
    <xf numFmtId="0" fontId="0" fillId="0" borderId="13" xfId="0" applyBorder="1"/>
    <xf numFmtId="164" fontId="3" fillId="0" borderId="13" xfId="0" applyNumberFormat="1" applyFont="1" applyBorder="1"/>
    <xf numFmtId="164" fontId="4" fillId="0" borderId="13" xfId="0" applyNumberFormat="1" applyFont="1" applyBorder="1"/>
    <xf numFmtId="164" fontId="4" fillId="0" borderId="0" xfId="2" applyNumberFormat="1" applyFont="1" applyBorder="1" applyAlignment="1">
      <alignment horizontal="right"/>
    </xf>
    <xf numFmtId="0" fontId="18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Alignment="1"/>
    <xf numFmtId="0" fontId="11" fillId="3" borderId="0" xfId="0" applyFont="1" applyFill="1"/>
    <xf numFmtId="0" fontId="5" fillId="3" borderId="0" xfId="0" applyFont="1" applyFill="1"/>
    <xf numFmtId="0" fontId="3" fillId="3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43" fontId="4" fillId="0" borderId="0" xfId="1" applyNumberFormat="1" applyFont="1" applyBorder="1" applyAlignment="1">
      <alignment horizontal="right" wrapText="1"/>
    </xf>
    <xf numFmtId="170" fontId="4" fillId="0" borderId="0" xfId="1" applyNumberFormat="1" applyFont="1" applyBorder="1" applyAlignment="1">
      <alignment horizontal="right" wrapText="1"/>
    </xf>
    <xf numFmtId="169" fontId="4" fillId="0" borderId="0" xfId="1" applyNumberFormat="1" applyFont="1"/>
    <xf numFmtId="169" fontId="4" fillId="0" borderId="2" xfId="1" applyNumberFormat="1" applyFont="1" applyBorder="1"/>
    <xf numFmtId="0" fontId="3" fillId="2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/>
    </xf>
    <xf numFmtId="166" fontId="6" fillId="0" borderId="17" xfId="1" applyNumberFormat="1" applyFont="1" applyBorder="1" applyAlignment="1">
      <alignment horizontal="right" wrapText="1"/>
    </xf>
    <xf numFmtId="0" fontId="21" fillId="2" borderId="8" xfId="0" applyFont="1" applyFill="1" applyBorder="1" applyAlignment="1">
      <alignment horizontal="center"/>
    </xf>
    <xf numFmtId="0" fontId="22" fillId="2" borderId="8" xfId="0" applyFont="1" applyFill="1" applyBorder="1"/>
    <xf numFmtId="0" fontId="22" fillId="2" borderId="11" xfId="0" applyFont="1" applyFill="1" applyBorder="1"/>
    <xf numFmtId="166" fontId="4" fillId="0" borderId="4" xfId="1" applyNumberFormat="1" applyFont="1" applyBorder="1" applyAlignment="1">
      <alignment horizontal="right" wrapText="1"/>
    </xf>
    <xf numFmtId="166" fontId="4" fillId="0" borderId="0" xfId="1" applyNumberFormat="1" applyFont="1" applyBorder="1" applyAlignment="1">
      <alignment horizontal="right" wrapText="1"/>
    </xf>
    <xf numFmtId="166" fontId="4" fillId="0" borderId="18" xfId="1" applyNumberFormat="1" applyFont="1" applyBorder="1" applyAlignment="1">
      <alignment horizontal="right" wrapText="1"/>
    </xf>
    <xf numFmtId="166" fontId="4" fillId="0" borderId="0" xfId="1" applyNumberFormat="1" applyFont="1" applyFill="1" applyBorder="1" applyAlignment="1">
      <alignment horizontal="right" wrapText="1"/>
    </xf>
    <xf numFmtId="166" fontId="4" fillId="0" borderId="3" xfId="1" applyNumberFormat="1" applyFont="1" applyBorder="1" applyAlignment="1">
      <alignment horizontal="right" wrapText="1"/>
    </xf>
    <xf numFmtId="43" fontId="4" fillId="0" borderId="4" xfId="1" applyNumberFormat="1" applyFont="1" applyBorder="1" applyAlignment="1">
      <alignment horizontal="right" wrapText="1"/>
    </xf>
    <xf numFmtId="43" fontId="4" fillId="0" borderId="3" xfId="1" applyNumberFormat="1" applyFont="1" applyBorder="1" applyAlignment="1">
      <alignment horizontal="right" wrapText="1"/>
    </xf>
    <xf numFmtId="166" fontId="4" fillId="0" borderId="0" xfId="1" applyNumberFormat="1" applyFont="1" applyBorder="1" applyAlignment="1">
      <alignment horizontal="center" wrapText="1"/>
    </xf>
    <xf numFmtId="170" fontId="4" fillId="0" borderId="4" xfId="1" applyNumberFormat="1" applyFont="1" applyBorder="1" applyAlignment="1">
      <alignment horizontal="right" wrapText="1"/>
    </xf>
    <xf numFmtId="175" fontId="4" fillId="0" borderId="0" xfId="1" applyNumberFormat="1" applyFont="1" applyBorder="1" applyAlignment="1">
      <alignment horizontal="right" wrapText="1"/>
    </xf>
    <xf numFmtId="166" fontId="4" fillId="0" borderId="0" xfId="1" quotePrefix="1" applyNumberFormat="1" applyFont="1" applyBorder="1" applyAlignment="1">
      <alignment horizontal="center" wrapText="1"/>
    </xf>
    <xf numFmtId="166" fontId="4" fillId="0" borderId="19" xfId="1" applyNumberFormat="1" applyFont="1" applyBorder="1" applyAlignment="1">
      <alignment horizontal="right" wrapText="1"/>
    </xf>
    <xf numFmtId="166" fontId="4" fillId="0" borderId="1" xfId="1" applyNumberFormat="1" applyFont="1" applyBorder="1" applyAlignment="1">
      <alignment horizontal="right" wrapText="1"/>
    </xf>
    <xf numFmtId="166" fontId="4" fillId="0" borderId="1" xfId="1" applyNumberFormat="1" applyFont="1" applyFill="1" applyBorder="1" applyAlignment="1">
      <alignment horizontal="right" wrapText="1"/>
    </xf>
    <xf numFmtId="166" fontId="4" fillId="0" borderId="20" xfId="1" applyNumberFormat="1" applyFont="1" applyBorder="1" applyAlignment="1">
      <alignment horizontal="right" wrapText="1"/>
    </xf>
    <xf numFmtId="43" fontId="4" fillId="0" borderId="19" xfId="1" applyNumberFormat="1" applyFont="1" applyBorder="1" applyAlignment="1">
      <alignment horizontal="right" wrapText="1"/>
    </xf>
    <xf numFmtId="43" fontId="4" fillId="0" borderId="1" xfId="1" applyNumberFormat="1" applyFont="1" applyBorder="1" applyAlignment="1">
      <alignment horizontal="right" wrapText="1"/>
    </xf>
    <xf numFmtId="43" fontId="4" fillId="0" borderId="20" xfId="1" applyNumberFormat="1" applyFont="1" applyBorder="1" applyAlignment="1">
      <alignment horizontal="right" wrapText="1"/>
    </xf>
    <xf numFmtId="166" fontId="4" fillId="0" borderId="1" xfId="1" applyNumberFormat="1" applyFont="1" applyBorder="1" applyAlignment="1">
      <alignment horizontal="center" wrapText="1"/>
    </xf>
    <xf numFmtId="170" fontId="4" fillId="0" borderId="19" xfId="1" applyNumberFormat="1" applyFont="1" applyBorder="1" applyAlignment="1">
      <alignment horizontal="right" wrapText="1"/>
    </xf>
    <xf numFmtId="170" fontId="4" fillId="0" borderId="1" xfId="1" applyNumberFormat="1" applyFont="1" applyBorder="1" applyAlignment="1">
      <alignment horizontal="right" wrapText="1"/>
    </xf>
    <xf numFmtId="175" fontId="4" fillId="0" borderId="1" xfId="1" applyNumberFormat="1" applyFont="1" applyBorder="1" applyAlignment="1">
      <alignment horizontal="right" wrapText="1"/>
    </xf>
    <xf numFmtId="166" fontId="4" fillId="0" borderId="1" xfId="1" quotePrefix="1" applyNumberFormat="1" applyFont="1" applyBorder="1" applyAlignment="1">
      <alignment horizontal="center" wrapText="1"/>
    </xf>
    <xf numFmtId="0" fontId="24" fillId="0" borderId="0" xfId="0" applyFont="1" applyFill="1" applyBorder="1" applyAlignment="1">
      <alignment horizontal="right" wrapText="1"/>
    </xf>
    <xf numFmtId="0" fontId="24" fillId="0" borderId="4" xfId="0" applyFont="1" applyFill="1" applyBorder="1" applyAlignment="1">
      <alignment horizontal="right" wrapText="1"/>
    </xf>
    <xf numFmtId="167" fontId="25" fillId="0" borderId="0" xfId="0" applyNumberFormat="1" applyFont="1" applyFill="1" applyBorder="1" applyAlignment="1">
      <alignment horizontal="right" wrapText="1"/>
    </xf>
    <xf numFmtId="0" fontId="24" fillId="0" borderId="3" xfId="0" applyFont="1" applyFill="1" applyBorder="1" applyAlignment="1">
      <alignment horizontal="right" wrapText="1"/>
    </xf>
    <xf numFmtId="167" fontId="25" fillId="0" borderId="22" xfId="0" applyNumberFormat="1" applyFont="1" applyFill="1" applyBorder="1" applyAlignment="1">
      <alignment horizontal="right" wrapText="1"/>
    </xf>
    <xf numFmtId="166" fontId="25" fillId="0" borderId="4" xfId="1" applyNumberFormat="1" applyFont="1" applyBorder="1" applyAlignment="1">
      <alignment horizontal="right" wrapText="1"/>
    </xf>
    <xf numFmtId="166" fontId="25" fillId="0" borderId="0" xfId="1" applyNumberFormat="1" applyFont="1" applyBorder="1" applyAlignment="1">
      <alignment horizontal="right" wrapText="1"/>
    </xf>
    <xf numFmtId="166" fontId="25" fillId="0" borderId="3" xfId="1" applyNumberFormat="1" applyFont="1" applyBorder="1" applyAlignment="1">
      <alignment horizontal="right" wrapText="1"/>
    </xf>
    <xf numFmtId="43" fontId="25" fillId="0" borderId="0" xfId="1" applyNumberFormat="1" applyFont="1" applyBorder="1" applyAlignment="1">
      <alignment horizontal="right" wrapText="1"/>
    </xf>
    <xf numFmtId="166" fontId="25" fillId="0" borderId="19" xfId="1" applyNumberFormat="1" applyFont="1" applyBorder="1" applyAlignment="1">
      <alignment horizontal="right" wrapText="1"/>
    </xf>
    <xf numFmtId="166" fontId="25" fillId="0" borderId="1" xfId="1" applyNumberFormat="1" applyFont="1" applyBorder="1" applyAlignment="1">
      <alignment horizontal="right" wrapText="1"/>
    </xf>
    <xf numFmtId="166" fontId="25" fillId="0" borderId="20" xfId="1" applyNumberFormat="1" applyFont="1" applyBorder="1" applyAlignment="1">
      <alignment horizontal="right" wrapText="1"/>
    </xf>
    <xf numFmtId="43" fontId="25" fillId="0" borderId="1" xfId="1" applyNumberFormat="1" applyFont="1" applyBorder="1" applyAlignment="1">
      <alignment horizontal="right" wrapText="1"/>
    </xf>
    <xf numFmtId="166" fontId="26" fillId="0" borderId="0" xfId="1" applyNumberFormat="1" applyFont="1" applyBorder="1" applyAlignment="1">
      <alignment horizontal="left"/>
    </xf>
    <xf numFmtId="166" fontId="26" fillId="0" borderId="0" xfId="1" applyNumberFormat="1" applyFont="1" applyBorder="1" applyAlignment="1">
      <alignment horizontal="right" wrapText="1"/>
    </xf>
    <xf numFmtId="166" fontId="27" fillId="0" borderId="0" xfId="1" applyNumberFormat="1" applyFont="1" applyBorder="1" applyAlignment="1">
      <alignment horizontal="right" wrapText="1"/>
    </xf>
    <xf numFmtId="166" fontId="27" fillId="0" borderId="4" xfId="1" applyNumberFormat="1" applyFont="1" applyBorder="1" applyAlignment="1">
      <alignment horizontal="right" wrapText="1"/>
    </xf>
    <xf numFmtId="166" fontId="27" fillId="0" borderId="3" xfId="1" applyNumberFormat="1" applyFont="1" applyBorder="1" applyAlignment="1">
      <alignment horizontal="right" wrapText="1"/>
    </xf>
    <xf numFmtId="166" fontId="27" fillId="0" borderId="19" xfId="1" applyNumberFormat="1" applyFont="1" applyBorder="1" applyAlignment="1">
      <alignment horizontal="right" wrapText="1"/>
    </xf>
    <xf numFmtId="166" fontId="27" fillId="0" borderId="1" xfId="1" applyNumberFormat="1" applyFont="1" applyBorder="1" applyAlignment="1">
      <alignment horizontal="right" wrapText="1"/>
    </xf>
    <xf numFmtId="166" fontId="26" fillId="0" borderId="1" xfId="1" applyNumberFormat="1" applyFont="1" applyBorder="1" applyAlignment="1">
      <alignment horizontal="left"/>
    </xf>
    <xf numFmtId="166" fontId="27" fillId="0" borderId="20" xfId="1" applyNumberFormat="1" applyFont="1" applyBorder="1" applyAlignment="1">
      <alignment horizontal="right" wrapText="1"/>
    </xf>
    <xf numFmtId="167" fontId="4" fillId="0" borderId="3" xfId="0" applyNumberFormat="1" applyFont="1" applyFill="1" applyBorder="1" applyAlignment="1">
      <alignment horizontal="right" wrapText="1"/>
    </xf>
    <xf numFmtId="167" fontId="4" fillId="0" borderId="4" xfId="0" applyNumberFormat="1" applyFont="1" applyFill="1" applyBorder="1" applyAlignment="1">
      <alignment horizontal="right" wrapText="1"/>
    </xf>
    <xf numFmtId="166" fontId="4" fillId="0" borderId="16" xfId="1" applyNumberFormat="1" applyFont="1" applyBorder="1" applyAlignment="1">
      <alignment horizontal="right" wrapText="1"/>
    </xf>
    <xf numFmtId="3" fontId="4" fillId="0" borderId="0" xfId="1" applyNumberFormat="1" applyFont="1" applyBorder="1" applyAlignment="1">
      <alignment horizontal="right" wrapText="1"/>
    </xf>
    <xf numFmtId="3" fontId="4" fillId="0" borderId="3" xfId="1" applyNumberFormat="1" applyFont="1" applyBorder="1" applyAlignment="1">
      <alignment horizontal="right" wrapText="1"/>
    </xf>
    <xf numFmtId="166" fontId="4" fillId="0" borderId="23" xfId="1" applyNumberFormat="1" applyFont="1" applyBorder="1" applyAlignment="1">
      <alignment horizontal="right" wrapText="1"/>
    </xf>
    <xf numFmtId="3" fontId="4" fillId="0" borderId="1" xfId="1" applyNumberFormat="1" applyFont="1" applyBorder="1" applyAlignment="1">
      <alignment horizontal="right" wrapText="1"/>
    </xf>
    <xf numFmtId="3" fontId="4" fillId="0" borderId="20" xfId="1" applyNumberFormat="1" applyFont="1" applyBorder="1" applyAlignment="1">
      <alignment horizontal="right" wrapText="1"/>
    </xf>
    <xf numFmtId="0" fontId="1" fillId="2" borderId="0" xfId="0" applyFont="1" applyFill="1" applyAlignment="1">
      <alignment horizontal="center" wrapText="1"/>
    </xf>
    <xf numFmtId="166" fontId="28" fillId="0" borderId="4" xfId="1" applyNumberFormat="1" applyFont="1" applyBorder="1" applyAlignment="1">
      <alignment horizontal="right" wrapText="1"/>
    </xf>
    <xf numFmtId="166" fontId="28" fillId="0" borderId="0" xfId="1" applyNumberFormat="1" applyFont="1" applyBorder="1" applyAlignment="1">
      <alignment horizontal="right" wrapText="1"/>
    </xf>
    <xf numFmtId="166" fontId="28" fillId="0" borderId="3" xfId="1" applyNumberFormat="1" applyFont="1" applyBorder="1" applyAlignment="1">
      <alignment horizontal="right" wrapText="1"/>
    </xf>
    <xf numFmtId="166" fontId="28" fillId="0" borderId="0" xfId="1" applyNumberFormat="1" applyFont="1" applyFill="1" applyBorder="1" applyAlignment="1">
      <alignment horizontal="right" wrapText="1"/>
    </xf>
    <xf numFmtId="166" fontId="28" fillId="0" borderId="3" xfId="1" applyNumberFormat="1" applyFont="1" applyFill="1" applyBorder="1" applyAlignment="1">
      <alignment horizontal="right" wrapText="1"/>
    </xf>
    <xf numFmtId="165" fontId="28" fillId="0" borderId="4" xfId="0" applyNumberFormat="1" applyFont="1" applyBorder="1"/>
    <xf numFmtId="165" fontId="28" fillId="0" borderId="0" xfId="0" applyNumberFormat="1" applyFont="1" applyBorder="1"/>
    <xf numFmtId="166" fontId="28" fillId="0" borderId="4" xfId="1" applyNumberFormat="1" applyFont="1" applyFill="1" applyBorder="1" applyAlignment="1">
      <alignment horizontal="right" wrapText="1"/>
    </xf>
    <xf numFmtId="0" fontId="28" fillId="0" borderId="0" xfId="0" applyFont="1" applyBorder="1" applyAlignment="1">
      <alignment horizontal="center"/>
    </xf>
    <xf numFmtId="0" fontId="29" fillId="2" borderId="0" xfId="0" applyFont="1" applyFill="1" applyAlignment="1">
      <alignment horizontal="center" wrapText="1"/>
    </xf>
    <xf numFmtId="173" fontId="28" fillId="0" borderId="0" xfId="0" applyNumberFormat="1" applyFont="1" applyFill="1" applyBorder="1"/>
    <xf numFmtId="0" fontId="29" fillId="2" borderId="1" xfId="0" applyFont="1" applyFill="1" applyBorder="1" applyAlignment="1">
      <alignment horizontal="center" wrapText="1"/>
    </xf>
    <xf numFmtId="166" fontId="28" fillId="0" borderId="19" xfId="1" applyNumberFormat="1" applyFont="1" applyBorder="1" applyAlignment="1">
      <alignment horizontal="right" wrapText="1"/>
    </xf>
    <xf numFmtId="166" fontId="28" fillId="0" borderId="1" xfId="1" applyNumberFormat="1" applyFont="1" applyBorder="1" applyAlignment="1">
      <alignment horizontal="right" wrapText="1"/>
    </xf>
    <xf numFmtId="166" fontId="28" fillId="0" borderId="20" xfId="1" applyNumberFormat="1" applyFont="1" applyBorder="1" applyAlignment="1">
      <alignment horizontal="right" wrapText="1"/>
    </xf>
    <xf numFmtId="166" fontId="28" fillId="0" borderId="1" xfId="1" applyNumberFormat="1" applyFont="1" applyFill="1" applyBorder="1" applyAlignment="1">
      <alignment horizontal="right" wrapText="1"/>
    </xf>
    <xf numFmtId="166" fontId="28" fillId="0" borderId="20" xfId="1" applyNumberFormat="1" applyFont="1" applyFill="1" applyBorder="1" applyAlignment="1">
      <alignment horizontal="right" wrapText="1"/>
    </xf>
    <xf numFmtId="165" fontId="28" fillId="0" borderId="19" xfId="0" applyNumberFormat="1" applyFont="1" applyBorder="1"/>
    <xf numFmtId="165" fontId="28" fillId="0" borderId="1" xfId="0" applyNumberFormat="1" applyFont="1" applyBorder="1"/>
    <xf numFmtId="173" fontId="28" fillId="0" borderId="1" xfId="0" applyNumberFormat="1" applyFont="1" applyFill="1" applyBorder="1"/>
    <xf numFmtId="166" fontId="28" fillId="0" borderId="19" xfId="1" applyNumberFormat="1" applyFont="1" applyFill="1" applyBorder="1" applyAlignment="1">
      <alignment horizontal="right" wrapText="1"/>
    </xf>
    <xf numFmtId="0" fontId="28" fillId="0" borderId="1" xfId="0" applyFont="1" applyBorder="1" applyAlignment="1">
      <alignment horizontal="center"/>
    </xf>
    <xf numFmtId="0" fontId="28" fillId="0" borderId="4" xfId="1" applyNumberFormat="1" applyFont="1" applyFill="1" applyBorder="1" applyAlignment="1">
      <alignment horizontal="right" wrapText="1"/>
    </xf>
    <xf numFmtId="9" fontId="28" fillId="0" borderId="0" xfId="3" applyFont="1" applyBorder="1"/>
    <xf numFmtId="166" fontId="28" fillId="0" borderId="8" xfId="1" applyNumberFormat="1" applyFont="1" applyBorder="1" applyAlignment="1">
      <alignment horizontal="right" wrapText="1"/>
    </xf>
    <xf numFmtId="0" fontId="29" fillId="2" borderId="0" xfId="0" applyFont="1" applyFill="1" applyBorder="1" applyAlignment="1">
      <alignment horizontal="center" wrapText="1"/>
    </xf>
    <xf numFmtId="0" fontId="29" fillId="2" borderId="3" xfId="0" applyFont="1" applyFill="1" applyBorder="1" applyAlignment="1">
      <alignment horizontal="center" wrapText="1"/>
    </xf>
    <xf numFmtId="166" fontId="28" fillId="0" borderId="9" xfId="1" applyNumberFormat="1" applyFont="1" applyBorder="1" applyAlignment="1">
      <alignment horizontal="right" wrapText="1"/>
    </xf>
    <xf numFmtId="166" fontId="28" fillId="0" borderId="14" xfId="1" applyNumberFormat="1" applyFont="1" applyBorder="1" applyAlignment="1">
      <alignment horizontal="right" wrapText="1"/>
    </xf>
    <xf numFmtId="165" fontId="28" fillId="0" borderId="21" xfId="0" applyNumberFormat="1" applyFont="1" applyBorder="1"/>
    <xf numFmtId="165" fontId="28" fillId="0" borderId="9" xfId="0" applyNumberFormat="1" applyFont="1" applyBorder="1"/>
    <xf numFmtId="0" fontId="29" fillId="0" borderId="0" xfId="0" applyFont="1"/>
    <xf numFmtId="172" fontId="29" fillId="0" borderId="0" xfId="0" applyNumberFormat="1" applyFont="1"/>
    <xf numFmtId="0" fontId="30" fillId="0" borderId="0" xfId="0" applyFont="1"/>
    <xf numFmtId="0" fontId="31" fillId="0" borderId="0" xfId="0" applyFont="1"/>
    <xf numFmtId="173" fontId="31" fillId="0" borderId="0" xfId="0" applyNumberFormat="1" applyFont="1" applyBorder="1"/>
    <xf numFmtId="172" fontId="31" fillId="0" borderId="0" xfId="0" applyNumberFormat="1" applyFont="1"/>
    <xf numFmtId="165" fontId="28" fillId="0" borderId="4" xfId="1" applyNumberFormat="1" applyFont="1" applyBorder="1" applyAlignment="1">
      <alignment horizontal="center" wrapText="1"/>
    </xf>
    <xf numFmtId="165" fontId="28" fillId="0" borderId="3" xfId="1" applyNumberFormat="1" applyFont="1" applyFill="1" applyBorder="1" applyAlignment="1">
      <alignment horizontal="center" wrapText="1"/>
    </xf>
    <xf numFmtId="174" fontId="28" fillId="0" borderId="4" xfId="3" applyNumberFormat="1" applyFont="1" applyFill="1" applyBorder="1" applyAlignment="1">
      <alignment horizontal="center" wrapText="1"/>
    </xf>
    <xf numFmtId="165" fontId="28" fillId="0" borderId="0" xfId="1" applyNumberFormat="1" applyFont="1" applyBorder="1" applyAlignment="1">
      <alignment horizontal="center" wrapText="1"/>
    </xf>
    <xf numFmtId="174" fontId="28" fillId="0" borderId="0" xfId="3" applyNumberFormat="1" applyFont="1" applyBorder="1" applyAlignment="1">
      <alignment horizontal="center" wrapText="1"/>
    </xf>
    <xf numFmtId="174" fontId="28" fillId="0" borderId="3" xfId="3" applyNumberFormat="1" applyFont="1" applyFill="1" applyBorder="1" applyAlignment="1">
      <alignment horizontal="center" wrapText="1"/>
    </xf>
    <xf numFmtId="165" fontId="28" fillId="0" borderId="0" xfId="1" applyNumberFormat="1" applyFont="1" applyFill="1" applyBorder="1" applyAlignment="1">
      <alignment horizontal="center" wrapText="1"/>
    </xf>
    <xf numFmtId="174" fontId="28" fillId="0" borderId="0" xfId="3" applyNumberFormat="1" applyFont="1" applyFill="1" applyBorder="1" applyAlignment="1">
      <alignment horizontal="center" wrapText="1"/>
    </xf>
    <xf numFmtId="9" fontId="28" fillId="0" borderId="0" xfId="3" applyNumberFormat="1" applyFont="1" applyFill="1" applyBorder="1" applyAlignment="1">
      <alignment horizontal="center" wrapText="1"/>
    </xf>
    <xf numFmtId="9" fontId="28" fillId="0" borderId="4" xfId="3" applyNumberFormat="1" applyFont="1" applyBorder="1" applyAlignment="1">
      <alignment horizontal="center" wrapText="1"/>
    </xf>
    <xf numFmtId="9" fontId="28" fillId="0" borderId="0" xfId="3" applyFont="1" applyBorder="1" applyAlignment="1">
      <alignment horizontal="center" wrapText="1"/>
    </xf>
    <xf numFmtId="165" fontId="28" fillId="0" borderId="3" xfId="1" applyNumberFormat="1" applyFont="1" applyBorder="1" applyAlignment="1">
      <alignment horizontal="center" wrapText="1"/>
    </xf>
    <xf numFmtId="174" fontId="28" fillId="0" borderId="4" xfId="3" applyNumberFormat="1" applyFont="1" applyBorder="1" applyAlignment="1">
      <alignment horizontal="center" wrapText="1"/>
    </xf>
    <xf numFmtId="174" fontId="28" fillId="0" borderId="3" xfId="3" applyNumberFormat="1" applyFont="1" applyBorder="1" applyAlignment="1">
      <alignment horizontal="center" wrapText="1"/>
    </xf>
    <xf numFmtId="9" fontId="28" fillId="0" borderId="0" xfId="3" applyNumberFormat="1" applyFont="1" applyBorder="1" applyAlignment="1">
      <alignment horizontal="center" wrapText="1"/>
    </xf>
    <xf numFmtId="165" fontId="28" fillId="0" borderId="19" xfId="1" applyNumberFormat="1" applyFont="1" applyBorder="1" applyAlignment="1">
      <alignment horizontal="center" wrapText="1"/>
    </xf>
    <xf numFmtId="165" fontId="28" fillId="0" borderId="20" xfId="1" applyNumberFormat="1" applyFont="1" applyBorder="1" applyAlignment="1">
      <alignment horizontal="center" wrapText="1"/>
    </xf>
    <xf numFmtId="174" fontId="28" fillId="0" borderId="19" xfId="3" applyNumberFormat="1" applyFont="1" applyBorder="1" applyAlignment="1">
      <alignment horizontal="center" wrapText="1"/>
    </xf>
    <xf numFmtId="165" fontId="28" fillId="0" borderId="1" xfId="1" applyNumberFormat="1" applyFont="1" applyBorder="1" applyAlignment="1">
      <alignment horizontal="center" wrapText="1"/>
    </xf>
    <xf numFmtId="174" fontId="28" fillId="0" borderId="1" xfId="3" applyNumberFormat="1" applyFont="1" applyBorder="1" applyAlignment="1">
      <alignment horizontal="center" wrapText="1"/>
    </xf>
    <xf numFmtId="174" fontId="28" fillId="0" borderId="20" xfId="3" applyNumberFormat="1" applyFont="1" applyBorder="1" applyAlignment="1">
      <alignment horizontal="center" wrapText="1"/>
    </xf>
    <xf numFmtId="9" fontId="28" fillId="0" borderId="1" xfId="3" applyNumberFormat="1" applyFont="1" applyBorder="1" applyAlignment="1">
      <alignment horizontal="center" wrapText="1"/>
    </xf>
    <xf numFmtId="9" fontId="28" fillId="0" borderId="19" xfId="3" applyNumberFormat="1" applyFont="1" applyBorder="1" applyAlignment="1">
      <alignment horizontal="center" wrapText="1"/>
    </xf>
    <xf numFmtId="9" fontId="28" fillId="0" borderId="1" xfId="3" applyFont="1" applyBorder="1" applyAlignment="1">
      <alignment horizontal="center" wrapText="1"/>
    </xf>
    <xf numFmtId="0" fontId="29" fillId="2" borderId="9" xfId="0" applyFont="1" applyFill="1" applyBorder="1" applyAlignment="1">
      <alignment horizontal="center" wrapText="1"/>
    </xf>
    <xf numFmtId="174" fontId="4" fillId="0" borderId="0" xfId="3" applyNumberFormat="1" applyFont="1"/>
    <xf numFmtId="169" fontId="4" fillId="0" borderId="1" xfId="1" applyNumberFormat="1" applyFont="1" applyBorder="1"/>
    <xf numFmtId="169" fontId="4" fillId="0" borderId="0" xfId="1" applyNumberFormat="1" applyFont="1" applyBorder="1"/>
    <xf numFmtId="0" fontId="4" fillId="0" borderId="0" xfId="0" applyFont="1" applyAlignment="1">
      <alignment horizontal="right"/>
    </xf>
    <xf numFmtId="9" fontId="0" fillId="0" borderId="0" xfId="3" applyFont="1" applyAlignment="1"/>
    <xf numFmtId="174" fontId="4" fillId="0" borderId="0" xfId="0" applyNumberFormat="1" applyFont="1"/>
    <xf numFmtId="174" fontId="1" fillId="0" borderId="0" xfId="3" applyNumberFormat="1"/>
    <xf numFmtId="166" fontId="1" fillId="0" borderId="19" xfId="1" applyNumberFormat="1" applyFont="1" applyBorder="1" applyAlignment="1">
      <alignment horizontal="right" wrapText="1"/>
    </xf>
    <xf numFmtId="166" fontId="1" fillId="0" borderId="1" xfId="1" applyNumberFormat="1" applyFont="1" applyBorder="1" applyAlignment="1">
      <alignment horizontal="right" wrapText="1"/>
    </xf>
    <xf numFmtId="166" fontId="1" fillId="0" borderId="20" xfId="1" applyNumberFormat="1" applyFont="1" applyBorder="1" applyAlignment="1">
      <alignment horizontal="right" wrapText="1"/>
    </xf>
    <xf numFmtId="169" fontId="3" fillId="0" borderId="0" xfId="1" applyNumberFormat="1" applyFont="1" applyBorder="1"/>
    <xf numFmtId="165" fontId="28" fillId="0" borderId="0" xfId="0" quotePrefix="1" applyNumberFormat="1" applyFont="1" applyBorder="1"/>
    <xf numFmtId="176" fontId="0" fillId="0" borderId="0" xfId="0" applyNumberFormat="1"/>
    <xf numFmtId="177" fontId="0" fillId="0" borderId="0" xfId="0" applyNumberFormat="1"/>
    <xf numFmtId="171" fontId="33" fillId="0" borderId="0" xfId="0" applyNumberFormat="1" applyFont="1"/>
    <xf numFmtId="0" fontId="34" fillId="3" borderId="0" xfId="0" applyFont="1" applyFill="1"/>
    <xf numFmtId="166" fontId="27" fillId="0" borderId="0" xfId="1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center" wrapText="1"/>
    </xf>
    <xf numFmtId="43" fontId="4" fillId="0" borderId="0" xfId="1" applyNumberFormat="1" applyFont="1" applyFill="1" applyBorder="1" applyAlignment="1">
      <alignment horizontal="right" wrapText="1"/>
    </xf>
    <xf numFmtId="166" fontId="4" fillId="0" borderId="0" xfId="1" applyNumberFormat="1" applyFont="1" applyFill="1" applyBorder="1" applyAlignment="1">
      <alignment horizontal="center" wrapText="1"/>
    </xf>
    <xf numFmtId="170" fontId="4" fillId="0" borderId="0" xfId="1" applyNumberFormat="1" applyFont="1" applyFill="1" applyBorder="1" applyAlignment="1">
      <alignment horizontal="right" wrapText="1"/>
    </xf>
    <xf numFmtId="178" fontId="35" fillId="0" borderId="0" xfId="0" applyNumberFormat="1" applyFont="1" applyBorder="1" applyAlignment="1" applyProtection="1">
      <protection locked="0"/>
    </xf>
    <xf numFmtId="0" fontId="1" fillId="3" borderId="0" xfId="0" applyFont="1" applyFill="1"/>
    <xf numFmtId="0" fontId="1" fillId="0" borderId="0" xfId="0" applyFont="1"/>
    <xf numFmtId="166" fontId="28" fillId="0" borderId="25" xfId="1" applyNumberFormat="1" applyFont="1" applyBorder="1" applyAlignment="1">
      <alignment horizontal="right" wrapText="1"/>
    </xf>
    <xf numFmtId="176" fontId="0" fillId="0" borderId="0" xfId="0" applyNumberFormat="1" applyFill="1" applyBorder="1"/>
    <xf numFmtId="3" fontId="4" fillId="0" borderId="0" xfId="1" applyNumberFormat="1" applyFont="1" applyFill="1" applyBorder="1" applyAlignment="1">
      <alignment horizontal="right" wrapText="1"/>
    </xf>
    <xf numFmtId="166" fontId="0" fillId="0" borderId="0" xfId="1" applyNumberFormat="1" applyFont="1" applyBorder="1" applyAlignment="1">
      <alignment horizontal="center"/>
    </xf>
    <xf numFmtId="9" fontId="28" fillId="0" borderId="0" xfId="3" applyFont="1" applyFill="1" applyBorder="1" applyAlignment="1">
      <alignment horizontal="center" wrapText="1"/>
    </xf>
    <xf numFmtId="0" fontId="29" fillId="0" borderId="0" xfId="0" applyFont="1" applyFill="1" applyBorder="1" applyAlignment="1">
      <alignment horizontal="center" wrapText="1"/>
    </xf>
    <xf numFmtId="0" fontId="29" fillId="2" borderId="26" xfId="0" applyFont="1" applyFill="1" applyBorder="1" applyAlignment="1">
      <alignment horizontal="center" wrapText="1"/>
    </xf>
    <xf numFmtId="165" fontId="28" fillId="0" borderId="25" xfId="1" applyNumberFormat="1" applyFont="1" applyBorder="1" applyAlignment="1">
      <alignment horizontal="center" wrapText="1"/>
    </xf>
    <xf numFmtId="165" fontId="28" fillId="0" borderId="27" xfId="1" applyNumberFormat="1" applyFont="1" applyBorder="1" applyAlignment="1">
      <alignment horizontal="center" wrapText="1"/>
    </xf>
    <xf numFmtId="165" fontId="28" fillId="0" borderId="26" xfId="1" applyNumberFormat="1" applyFont="1" applyBorder="1" applyAlignment="1">
      <alignment horizontal="center" wrapText="1"/>
    </xf>
    <xf numFmtId="174" fontId="28" fillId="0" borderId="26" xfId="3" applyNumberFormat="1" applyFont="1" applyBorder="1" applyAlignment="1">
      <alignment horizontal="center" wrapText="1"/>
    </xf>
    <xf numFmtId="174" fontId="28" fillId="0" borderId="27" xfId="3" applyNumberFormat="1" applyFont="1" applyBorder="1" applyAlignment="1">
      <alignment horizontal="center" wrapText="1"/>
    </xf>
    <xf numFmtId="9" fontId="28" fillId="0" borderId="26" xfId="3" applyNumberFormat="1" applyFont="1" applyBorder="1" applyAlignment="1">
      <alignment horizontal="center" wrapText="1"/>
    </xf>
    <xf numFmtId="9" fontId="28" fillId="0" borderId="25" xfId="3" applyNumberFormat="1" applyFont="1" applyBorder="1" applyAlignment="1">
      <alignment horizontal="center" wrapText="1"/>
    </xf>
    <xf numFmtId="9" fontId="28" fillId="0" borderId="26" xfId="3" applyFont="1" applyBorder="1" applyAlignment="1">
      <alignment horizontal="center" wrapText="1"/>
    </xf>
    <xf numFmtId="0" fontId="3" fillId="2" borderId="10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174" fontId="28" fillId="0" borderId="16" xfId="3" applyNumberFormat="1" applyFont="1" applyFill="1" applyBorder="1" applyAlignment="1">
      <alignment horizontal="center" wrapText="1"/>
    </xf>
    <xf numFmtId="174" fontId="28" fillId="0" borderId="16" xfId="3" applyNumberFormat="1" applyFont="1" applyBorder="1" applyAlignment="1">
      <alignment horizontal="center" wrapText="1"/>
    </xf>
    <xf numFmtId="174" fontId="28" fillId="0" borderId="23" xfId="3" applyNumberFormat="1" applyFont="1" applyBorder="1" applyAlignment="1">
      <alignment horizontal="center" wrapText="1"/>
    </xf>
    <xf numFmtId="164" fontId="4" fillId="0" borderId="0" xfId="2" applyNumberFormat="1" applyFont="1" applyFill="1" applyBorder="1"/>
    <xf numFmtId="164" fontId="3" fillId="0" borderId="0" xfId="2" applyNumberFormat="1" applyFont="1" applyFill="1" applyBorder="1"/>
    <xf numFmtId="174" fontId="4" fillId="0" borderId="0" xfId="3" applyNumberFormat="1" applyFont="1" applyFill="1"/>
    <xf numFmtId="0" fontId="4" fillId="0" borderId="0" xfId="0" applyFont="1" applyFill="1" applyAlignment="1">
      <alignment horizontal="right"/>
    </xf>
    <xf numFmtId="164" fontId="4" fillId="0" borderId="0" xfId="2" applyNumberFormat="1" applyFont="1" applyFill="1" applyBorder="1" applyAlignment="1">
      <alignment horizontal="right"/>
    </xf>
    <xf numFmtId="0" fontId="5" fillId="3" borderId="0" xfId="0" applyFont="1" applyFill="1" applyBorder="1"/>
    <xf numFmtId="0" fontId="0" fillId="3" borderId="0" xfId="0" applyFill="1" applyBorder="1"/>
    <xf numFmtId="0" fontId="4" fillId="0" borderId="0" xfId="0" applyFont="1" applyBorder="1"/>
    <xf numFmtId="0" fontId="6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7" fillId="3" borderId="0" xfId="0" applyFont="1" applyFill="1"/>
    <xf numFmtId="0" fontId="37" fillId="0" borderId="0" xfId="0" applyFont="1"/>
    <xf numFmtId="0" fontId="25" fillId="0" borderId="0" xfId="0" applyFont="1"/>
    <xf numFmtId="0" fontId="24" fillId="3" borderId="0" xfId="0" applyFont="1" applyFill="1"/>
    <xf numFmtId="0" fontId="24" fillId="0" borderId="0" xfId="0" applyFont="1"/>
    <xf numFmtId="0" fontId="15" fillId="0" borderId="0" xfId="0" applyFont="1"/>
    <xf numFmtId="179" fontId="4" fillId="0" borderId="0" xfId="3" applyNumberFormat="1" applyFont="1"/>
    <xf numFmtId="0" fontId="0" fillId="0" borderId="0" xfId="0" applyAlignment="1">
      <alignment horizontal="left" indent="1"/>
    </xf>
    <xf numFmtId="0" fontId="0" fillId="0" borderId="2" xfId="0" applyBorder="1" applyAlignment="1">
      <alignment horizontal="left" indent="1"/>
    </xf>
    <xf numFmtId="0" fontId="0" fillId="0" borderId="0" xfId="0" applyAlignment="1">
      <alignment horizontal="left" indent="2"/>
    </xf>
    <xf numFmtId="0" fontId="17" fillId="0" borderId="0" xfId="0" applyFont="1" applyAlignment="1">
      <alignment horizontal="left" indent="2"/>
    </xf>
    <xf numFmtId="0" fontId="4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2" borderId="22" xfId="0" applyFill="1" applyBorder="1" applyAlignment="1">
      <alignment horizontal="center" wrapText="1"/>
    </xf>
    <xf numFmtId="0" fontId="0" fillId="2" borderId="20" xfId="0" applyFill="1" applyBorder="1" applyAlignment="1">
      <alignment horizontal="center" wrapText="1"/>
    </xf>
    <xf numFmtId="166" fontId="6" fillId="0" borderId="9" xfId="1" applyNumberFormat="1" applyFont="1" applyBorder="1" applyAlignment="1">
      <alignment horizontal="center" wrapText="1"/>
    </xf>
    <xf numFmtId="173" fontId="6" fillId="0" borderId="21" xfId="0" applyNumberFormat="1" applyFont="1" applyBorder="1" applyAlignment="1"/>
    <xf numFmtId="166" fontId="6" fillId="0" borderId="14" xfId="1" applyNumberFormat="1" applyFont="1" applyBorder="1" applyAlignment="1">
      <alignment wrapText="1"/>
    </xf>
    <xf numFmtId="166" fontId="6" fillId="0" borderId="9" xfId="1" applyNumberFormat="1" applyFont="1" applyBorder="1" applyAlignment="1">
      <alignment wrapText="1"/>
    </xf>
    <xf numFmtId="9" fontId="6" fillId="0" borderId="0" xfId="3" applyNumberFormat="1" applyFont="1" applyFill="1" applyBorder="1" applyAlignment="1">
      <alignment horizontal="center" wrapText="1"/>
    </xf>
    <xf numFmtId="0" fontId="39" fillId="0" borderId="0" xfId="0" applyFont="1"/>
    <xf numFmtId="0" fontId="0" fillId="2" borderId="26" xfId="0" applyFill="1" applyBorder="1" applyAlignment="1">
      <alignment horizontal="center" wrapText="1"/>
    </xf>
    <xf numFmtId="166" fontId="4" fillId="0" borderId="25" xfId="1" applyNumberFormat="1" applyFont="1" applyBorder="1" applyAlignment="1">
      <alignment horizontal="right" wrapText="1"/>
    </xf>
    <xf numFmtId="166" fontId="4" fillId="0" borderId="26" xfId="1" applyNumberFormat="1" applyFont="1" applyBorder="1" applyAlignment="1">
      <alignment horizontal="right" wrapText="1"/>
    </xf>
    <xf numFmtId="166" fontId="4" fillId="0" borderId="26" xfId="1" applyNumberFormat="1" applyFont="1" applyFill="1" applyBorder="1" applyAlignment="1">
      <alignment horizontal="right" wrapText="1"/>
    </xf>
    <xf numFmtId="166" fontId="4" fillId="0" borderId="27" xfId="1" applyNumberFormat="1" applyFont="1" applyBorder="1" applyAlignment="1">
      <alignment horizontal="right" wrapText="1"/>
    </xf>
    <xf numFmtId="43" fontId="4" fillId="0" borderId="25" xfId="1" applyNumberFormat="1" applyFont="1" applyBorder="1" applyAlignment="1">
      <alignment horizontal="right" wrapText="1"/>
    </xf>
    <xf numFmtId="43" fontId="4" fillId="0" borderId="26" xfId="1" applyNumberFormat="1" applyFont="1" applyBorder="1" applyAlignment="1">
      <alignment horizontal="right" wrapText="1"/>
    </xf>
    <xf numFmtId="43" fontId="4" fillId="0" borderId="27" xfId="1" applyNumberFormat="1" applyFont="1" applyBorder="1" applyAlignment="1">
      <alignment horizontal="right" wrapText="1"/>
    </xf>
    <xf numFmtId="166" fontId="4" fillId="0" borderId="26" xfId="1" applyNumberFormat="1" applyFont="1" applyBorder="1" applyAlignment="1">
      <alignment horizontal="center" wrapText="1"/>
    </xf>
    <xf numFmtId="170" fontId="4" fillId="0" borderId="25" xfId="1" applyNumberFormat="1" applyFont="1" applyBorder="1" applyAlignment="1">
      <alignment horizontal="right" wrapText="1"/>
    </xf>
    <xf numFmtId="170" fontId="4" fillId="0" borderId="26" xfId="1" applyNumberFormat="1" applyFont="1" applyBorder="1" applyAlignment="1">
      <alignment horizontal="right" wrapText="1"/>
    </xf>
    <xf numFmtId="0" fontId="4" fillId="2" borderId="12" xfId="0" applyFont="1" applyFill="1" applyBorder="1" applyAlignment="1">
      <alignment horizontal="center" wrapText="1"/>
    </xf>
    <xf numFmtId="166" fontId="4" fillId="0" borderId="12" xfId="1" applyNumberFormat="1" applyFont="1" applyBorder="1" applyAlignment="1">
      <alignment horizontal="right" wrapText="1"/>
    </xf>
    <xf numFmtId="166" fontId="4" fillId="0" borderId="12" xfId="1" applyNumberFormat="1" applyFont="1" applyFill="1" applyBorder="1" applyAlignment="1">
      <alignment horizontal="right" wrapText="1"/>
    </xf>
    <xf numFmtId="166" fontId="4" fillId="0" borderId="8" xfId="1" applyNumberFormat="1" applyFont="1" applyBorder="1" applyAlignment="1">
      <alignment horizontal="right" wrapText="1"/>
    </xf>
    <xf numFmtId="43" fontId="4" fillId="0" borderId="18" xfId="1" applyNumberFormat="1" applyFont="1" applyBorder="1" applyAlignment="1">
      <alignment horizontal="right" wrapText="1"/>
    </xf>
    <xf numFmtId="43" fontId="4" fillId="0" borderId="12" xfId="1" applyNumberFormat="1" applyFont="1" applyBorder="1" applyAlignment="1">
      <alignment horizontal="right" wrapText="1"/>
    </xf>
    <xf numFmtId="43" fontId="4" fillId="0" borderId="8" xfId="1" applyNumberFormat="1" applyFont="1" applyBorder="1" applyAlignment="1">
      <alignment horizontal="right" wrapText="1"/>
    </xf>
    <xf numFmtId="166" fontId="4" fillId="0" borderId="12" xfId="1" applyNumberFormat="1" applyFont="1" applyBorder="1" applyAlignment="1">
      <alignment horizontal="center" wrapText="1"/>
    </xf>
    <xf numFmtId="170" fontId="4" fillId="0" borderId="18" xfId="1" applyNumberFormat="1" applyFont="1" applyBorder="1" applyAlignment="1">
      <alignment horizontal="right" wrapText="1"/>
    </xf>
    <xf numFmtId="170" fontId="4" fillId="0" borderId="12" xfId="1" applyNumberFormat="1" applyFont="1" applyBorder="1" applyAlignment="1">
      <alignment horizontal="right" wrapText="1"/>
    </xf>
    <xf numFmtId="0" fontId="4" fillId="2" borderId="26" xfId="0" applyFont="1" applyFill="1" applyBorder="1" applyAlignment="1">
      <alignment horizontal="center" wrapText="1"/>
    </xf>
    <xf numFmtId="166" fontId="4" fillId="0" borderId="28" xfId="1" applyNumberFormat="1" applyFont="1" applyBorder="1" applyAlignment="1">
      <alignment horizontal="right" wrapText="1"/>
    </xf>
    <xf numFmtId="3" fontId="4" fillId="0" borderId="26" xfId="1" applyNumberFormat="1" applyFont="1" applyBorder="1" applyAlignment="1">
      <alignment horizontal="right" wrapText="1"/>
    </xf>
    <xf numFmtId="3" fontId="4" fillId="0" borderId="27" xfId="1" applyNumberFormat="1" applyFont="1" applyBorder="1" applyAlignment="1">
      <alignment horizontal="right" wrapText="1"/>
    </xf>
    <xf numFmtId="0" fontId="36" fillId="3" borderId="6" xfId="0" applyFont="1" applyFill="1" applyBorder="1" applyAlignment="1"/>
    <xf numFmtId="0" fontId="36" fillId="3" borderId="15" xfId="0" applyFont="1" applyFill="1" applyBorder="1" applyAlignment="1"/>
    <xf numFmtId="0" fontId="36" fillId="3" borderId="19" xfId="0" applyFont="1" applyFill="1" applyBorder="1" applyAlignment="1"/>
    <xf numFmtId="0" fontId="36" fillId="3" borderId="1" xfId="0" applyFont="1" applyFill="1" applyBorder="1" applyAlignment="1"/>
    <xf numFmtId="0" fontId="39" fillId="0" borderId="0" xfId="0" applyFont="1" applyAlignment="1">
      <alignment vertical="top" wrapText="1"/>
    </xf>
    <xf numFmtId="179" fontId="6" fillId="0" borderId="0" xfId="3" applyNumberFormat="1" applyFont="1"/>
    <xf numFmtId="179" fontId="6" fillId="0" borderId="19" xfId="3" applyNumberFormat="1" applyFont="1" applyBorder="1"/>
    <xf numFmtId="43" fontId="4" fillId="0" borderId="0" xfId="0" applyNumberFormat="1" applyFont="1"/>
    <xf numFmtId="179" fontId="6" fillId="0" borderId="1" xfId="3" applyNumberFormat="1" applyFont="1" applyBorder="1"/>
    <xf numFmtId="0" fontId="40" fillId="0" borderId="0" xfId="0" applyFont="1" applyAlignment="1">
      <alignment horizontal="left" indent="2"/>
    </xf>
    <xf numFmtId="169" fontId="41" fillId="0" borderId="0" xfId="1" applyNumberFormat="1" applyFont="1"/>
    <xf numFmtId="179" fontId="42" fillId="0" borderId="0" xfId="3" applyNumberFormat="1" applyFont="1"/>
    <xf numFmtId="169" fontId="41" fillId="0" borderId="0" xfId="1" applyNumberFormat="1" applyFont="1" applyBorder="1"/>
    <xf numFmtId="174" fontId="42" fillId="0" borderId="0" xfId="3" applyNumberFormat="1" applyFont="1"/>
    <xf numFmtId="0" fontId="42" fillId="0" borderId="0" xfId="0" applyFont="1"/>
    <xf numFmtId="0" fontId="1" fillId="0" borderId="0" xfId="0" applyFont="1" applyBorder="1"/>
    <xf numFmtId="168" fontId="1" fillId="0" borderId="0" xfId="0" applyNumberFormat="1" applyFont="1" applyBorder="1"/>
    <xf numFmtId="166" fontId="1" fillId="0" borderId="0" xfId="0" applyNumberFormat="1" applyFont="1"/>
    <xf numFmtId="179" fontId="6" fillId="0" borderId="0" xfId="3" applyNumberFormat="1" applyFont="1" applyAlignment="1">
      <alignment horizontal="right"/>
    </xf>
    <xf numFmtId="0" fontId="2" fillId="3" borderId="18" xfId="0" applyFont="1" applyFill="1" applyBorder="1"/>
    <xf numFmtId="0" fontId="10" fillId="3" borderId="12" xfId="0" applyFont="1" applyFill="1" applyBorder="1"/>
    <xf numFmtId="0" fontId="0" fillId="3" borderId="8" xfId="0" applyFill="1" applyBorder="1"/>
    <xf numFmtId="0" fontId="12" fillId="3" borderId="19" xfId="0" applyFont="1" applyFill="1" applyBorder="1"/>
    <xf numFmtId="0" fontId="10" fillId="3" borderId="1" xfId="0" applyFont="1" applyFill="1" applyBorder="1"/>
    <xf numFmtId="0" fontId="0" fillId="3" borderId="20" xfId="0" applyFill="1" applyBorder="1"/>
    <xf numFmtId="0" fontId="4" fillId="0" borderId="0" xfId="0" applyFont="1" applyAlignment="1">
      <alignment horizontal="left" indent="2"/>
    </xf>
    <xf numFmtId="0" fontId="3" fillId="0" borderId="0" xfId="0" applyFont="1" applyAlignment="1">
      <alignment horizontal="left" indent="2"/>
    </xf>
    <xf numFmtId="0" fontId="36" fillId="3" borderId="7" xfId="0" applyFont="1" applyFill="1" applyBorder="1" applyAlignment="1"/>
    <xf numFmtId="0" fontId="24" fillId="0" borderId="0" xfId="0" applyFont="1" applyFill="1"/>
    <xf numFmtId="0" fontId="37" fillId="0" borderId="0" xfId="0" applyFont="1" applyFill="1"/>
    <xf numFmtId="0" fontId="1" fillId="0" borderId="0" xfId="0" applyFont="1" applyFill="1"/>
    <xf numFmtId="0" fontId="3" fillId="0" borderId="0" xfId="0" applyFont="1" applyFill="1"/>
    <xf numFmtId="0" fontId="29" fillId="2" borderId="8" xfId="0" applyFont="1" applyFill="1" applyBorder="1" applyAlignment="1">
      <alignment horizontal="center" wrapText="1"/>
    </xf>
    <xf numFmtId="0" fontId="29" fillId="2" borderId="20" xfId="0" applyFont="1" applyFill="1" applyBorder="1" applyAlignment="1">
      <alignment horizontal="center" wrapText="1"/>
    </xf>
    <xf numFmtId="178" fontId="35" fillId="0" borderId="0" xfId="0" applyNumberFormat="1" applyFont="1" applyFill="1" applyAlignment="1" applyProtection="1">
      <protection locked="0"/>
    </xf>
    <xf numFmtId="43" fontId="4" fillId="0" borderId="4" xfId="1" applyNumberFormat="1" applyFont="1" applyFill="1" applyBorder="1" applyAlignment="1">
      <alignment horizontal="right" wrapText="1"/>
    </xf>
    <xf numFmtId="43" fontId="4" fillId="0" borderId="3" xfId="1" applyNumberFormat="1" applyFont="1" applyFill="1" applyBorder="1" applyAlignment="1">
      <alignment horizontal="right" wrapText="1"/>
    </xf>
    <xf numFmtId="170" fontId="4" fillId="0" borderId="4" xfId="1" applyNumberFormat="1" applyFont="1" applyFill="1" applyBorder="1" applyAlignment="1">
      <alignment horizontal="right" wrapText="1"/>
    </xf>
    <xf numFmtId="169" fontId="3" fillId="0" borderId="0" xfId="1" applyNumberFormat="1" applyFont="1" applyFill="1"/>
    <xf numFmtId="169" fontId="4" fillId="0" borderId="0" xfId="1" applyNumberFormat="1" applyFont="1" applyFill="1"/>
    <xf numFmtId="178" fontId="35" fillId="0" borderId="0" xfId="0" applyNumberFormat="1" applyFont="1" applyFill="1" applyBorder="1" applyAlignment="1" applyProtection="1">
      <protection locked="0"/>
    </xf>
    <xf numFmtId="178" fontId="35" fillId="0" borderId="1" xfId="0" applyNumberFormat="1" applyFont="1" applyFill="1" applyBorder="1" applyAlignment="1" applyProtection="1">
      <protection locked="0"/>
    </xf>
    <xf numFmtId="43" fontId="4" fillId="0" borderId="19" xfId="1" applyNumberFormat="1" applyFont="1" applyFill="1" applyBorder="1" applyAlignment="1">
      <alignment horizontal="right" wrapText="1"/>
    </xf>
    <xf numFmtId="43" fontId="4" fillId="0" borderId="1" xfId="1" applyNumberFormat="1" applyFont="1" applyFill="1" applyBorder="1" applyAlignment="1">
      <alignment horizontal="right" wrapText="1"/>
    </xf>
    <xf numFmtId="43" fontId="4" fillId="0" borderId="20" xfId="1" applyNumberFormat="1" applyFont="1" applyFill="1" applyBorder="1" applyAlignment="1">
      <alignment horizontal="right" wrapText="1"/>
    </xf>
    <xf numFmtId="166" fontId="4" fillId="0" borderId="1" xfId="1" applyNumberFormat="1" applyFont="1" applyFill="1" applyBorder="1" applyAlignment="1">
      <alignment horizontal="center" wrapText="1"/>
    </xf>
    <xf numFmtId="170" fontId="4" fillId="0" borderId="19" xfId="1" applyNumberFormat="1" applyFont="1" applyFill="1" applyBorder="1" applyAlignment="1">
      <alignment horizontal="right" wrapText="1"/>
    </xf>
    <xf numFmtId="170" fontId="4" fillId="0" borderId="1" xfId="1" applyNumberFormat="1" applyFont="1" applyFill="1" applyBorder="1" applyAlignment="1">
      <alignment horizontal="right" wrapText="1"/>
    </xf>
    <xf numFmtId="166" fontId="4" fillId="0" borderId="4" xfId="1" applyNumberFormat="1" applyFont="1" applyFill="1" applyBorder="1" applyAlignment="1">
      <alignment horizontal="right" wrapText="1"/>
    </xf>
    <xf numFmtId="166" fontId="4" fillId="0" borderId="16" xfId="1" applyNumberFormat="1" applyFont="1" applyFill="1" applyBorder="1" applyAlignment="1">
      <alignment horizontal="right" wrapText="1"/>
    </xf>
    <xf numFmtId="3" fontId="4" fillId="0" borderId="3" xfId="1" applyNumberFormat="1" applyFont="1" applyFill="1" applyBorder="1" applyAlignment="1">
      <alignment horizontal="right" wrapText="1"/>
    </xf>
    <xf numFmtId="166" fontId="4" fillId="0" borderId="3" xfId="1" applyNumberFormat="1" applyFont="1" applyFill="1" applyBorder="1" applyAlignment="1">
      <alignment horizontal="right" wrapText="1"/>
    </xf>
    <xf numFmtId="166" fontId="4" fillId="0" borderId="0" xfId="0" applyNumberFormat="1" applyFont="1"/>
    <xf numFmtId="0" fontId="0" fillId="0" borderId="0" xfId="0" applyAlignment="1">
      <alignment vertical="top"/>
    </xf>
    <xf numFmtId="166" fontId="4" fillId="0" borderId="19" xfId="1" applyNumberFormat="1" applyFont="1" applyFill="1" applyBorder="1" applyAlignment="1">
      <alignment horizontal="right" wrapText="1"/>
    </xf>
    <xf numFmtId="169" fontId="42" fillId="0" borderId="0" xfId="1" applyNumberFormat="1" applyFont="1"/>
    <xf numFmtId="43" fontId="31" fillId="0" borderId="0" xfId="0" applyNumberFormat="1" applyFont="1"/>
    <xf numFmtId="179" fontId="6" fillId="0" borderId="0" xfId="3" applyNumberFormat="1" applyFont="1" applyBorder="1"/>
    <xf numFmtId="174" fontId="28" fillId="0" borderId="8" xfId="3" applyNumberFormat="1" applyFont="1" applyBorder="1" applyAlignment="1">
      <alignment horizontal="center" wrapText="1"/>
    </xf>
    <xf numFmtId="178" fontId="35" fillId="0" borderId="1" xfId="0" applyNumberFormat="1" applyFont="1" applyBorder="1" applyAlignment="1" applyProtection="1">
      <protection locked="0"/>
    </xf>
    <xf numFmtId="166" fontId="4" fillId="0" borderId="20" xfId="1" applyNumberFormat="1" applyFont="1" applyFill="1" applyBorder="1" applyAlignment="1">
      <alignment horizontal="right" wrapText="1"/>
    </xf>
    <xf numFmtId="166" fontId="4" fillId="0" borderId="20" xfId="1" applyNumberFormat="1" applyFont="1" applyFill="1" applyBorder="1" applyAlignment="1">
      <alignment horizontal="center" wrapText="1"/>
    </xf>
    <xf numFmtId="166" fontId="4" fillId="0" borderId="8" xfId="1" applyNumberFormat="1" applyFont="1" applyFill="1" applyBorder="1" applyAlignment="1">
      <alignment horizontal="right" wrapText="1"/>
    </xf>
    <xf numFmtId="166" fontId="4" fillId="0" borderId="3" xfId="1" applyNumberFormat="1" applyFont="1" applyFill="1" applyBorder="1" applyAlignment="1">
      <alignment horizontal="center" wrapText="1"/>
    </xf>
    <xf numFmtId="178" fontId="35" fillId="0" borderId="19" xfId="0" applyNumberFormat="1" applyFont="1" applyBorder="1" applyAlignment="1" applyProtection="1">
      <protection locked="0"/>
    </xf>
    <xf numFmtId="166" fontId="4" fillId="0" borderId="8" xfId="1" applyNumberFormat="1" applyFont="1" applyBorder="1" applyAlignment="1">
      <alignment horizontal="center" wrapText="1"/>
    </xf>
    <xf numFmtId="166" fontId="4" fillId="0" borderId="3" xfId="1" applyNumberFormat="1" applyFont="1" applyBorder="1" applyAlignment="1">
      <alignment horizontal="center" wrapText="1"/>
    </xf>
    <xf numFmtId="166" fontId="4" fillId="0" borderId="20" xfId="1" applyNumberFormat="1" applyFont="1" applyBorder="1" applyAlignment="1">
      <alignment horizontal="center" wrapText="1"/>
    </xf>
    <xf numFmtId="166" fontId="27" fillId="0" borderId="8" xfId="1" applyNumberFormat="1" applyFont="1" applyBorder="1" applyAlignment="1">
      <alignment horizontal="right" wrapText="1"/>
    </xf>
    <xf numFmtId="166" fontId="4" fillId="0" borderId="23" xfId="1" applyNumberFormat="1" applyFont="1" applyFill="1" applyBorder="1" applyAlignment="1">
      <alignment horizontal="right" wrapText="1"/>
    </xf>
    <xf numFmtId="3" fontId="4" fillId="0" borderId="1" xfId="1" applyNumberFormat="1" applyFont="1" applyFill="1" applyBorder="1" applyAlignment="1">
      <alignment horizontal="right" wrapText="1"/>
    </xf>
    <xf numFmtId="3" fontId="4" fillId="0" borderId="20" xfId="1" applyNumberFormat="1" applyFont="1" applyFill="1" applyBorder="1" applyAlignment="1">
      <alignment horizontal="right" wrapText="1"/>
    </xf>
    <xf numFmtId="166" fontId="4" fillId="0" borderId="11" xfId="1" applyNumberFormat="1" applyFont="1" applyFill="1" applyBorder="1" applyAlignment="1">
      <alignment horizontal="right" wrapText="1"/>
    </xf>
    <xf numFmtId="3" fontId="4" fillId="0" borderId="8" xfId="1" applyNumberFormat="1" applyFont="1" applyFill="1" applyBorder="1" applyAlignment="1">
      <alignment horizontal="right" wrapText="1"/>
    </xf>
    <xf numFmtId="9" fontId="6" fillId="0" borderId="1" xfId="3" applyNumberFormat="1" applyFont="1" applyFill="1" applyBorder="1" applyAlignment="1">
      <alignment horizontal="center" wrapText="1"/>
    </xf>
    <xf numFmtId="165" fontId="28" fillId="0" borderId="8" xfId="1" applyNumberFormat="1" applyFont="1" applyBorder="1" applyAlignment="1">
      <alignment horizontal="center" wrapText="1"/>
    </xf>
    <xf numFmtId="9" fontId="6" fillId="0" borderId="8" xfId="3" applyNumberFormat="1" applyFont="1" applyFill="1" applyBorder="1" applyAlignment="1">
      <alignment horizontal="center" wrapText="1"/>
    </xf>
    <xf numFmtId="9" fontId="6" fillId="0" borderId="3" xfId="3" applyNumberFormat="1" applyFont="1" applyFill="1" applyBorder="1" applyAlignment="1">
      <alignment horizontal="center" wrapText="1"/>
    </xf>
    <xf numFmtId="9" fontId="6" fillId="0" borderId="20" xfId="3" applyNumberFormat="1" applyFont="1" applyFill="1" applyBorder="1" applyAlignment="1">
      <alignment horizontal="center" wrapText="1"/>
    </xf>
    <xf numFmtId="174" fontId="28" fillId="0" borderId="11" xfId="3" applyNumberFormat="1" applyFont="1" applyBorder="1" applyAlignment="1">
      <alignment horizontal="center" wrapText="1"/>
    </xf>
    <xf numFmtId="0" fontId="4" fillId="2" borderId="20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wrapText="1"/>
    </xf>
    <xf numFmtId="166" fontId="6" fillId="0" borderId="3" xfId="1" applyNumberFormat="1" applyFont="1" applyBorder="1" applyAlignment="1">
      <alignment horizontal="right" wrapText="1"/>
    </xf>
    <xf numFmtId="165" fontId="6" fillId="0" borderId="4" xfId="0" applyNumberFormat="1" applyFont="1" applyBorder="1" applyAlignment="1">
      <alignment horizontal="right"/>
    </xf>
    <xf numFmtId="165" fontId="6" fillId="0" borderId="4" xfId="0" applyNumberFormat="1" applyFont="1" applyFill="1" applyBorder="1" applyAlignment="1">
      <alignment horizontal="center"/>
    </xf>
    <xf numFmtId="165" fontId="6" fillId="0" borderId="19" xfId="0" applyNumberFormat="1" applyFont="1" applyFill="1" applyBorder="1" applyAlignment="1">
      <alignment horizontal="center"/>
    </xf>
    <xf numFmtId="165" fontId="6" fillId="0" borderId="3" xfId="0" applyNumberFormat="1" applyFont="1" applyFill="1" applyBorder="1" applyAlignment="1">
      <alignment horizontal="right"/>
    </xf>
    <xf numFmtId="165" fontId="6" fillId="0" borderId="20" xfId="0" applyNumberFormat="1" applyFont="1" applyFill="1" applyBorder="1" applyAlignment="1">
      <alignment horizontal="right"/>
    </xf>
    <xf numFmtId="166" fontId="6" fillId="0" borderId="0" xfId="1" applyNumberFormat="1" applyFont="1" applyBorder="1" applyAlignment="1">
      <alignment horizontal="right" wrapText="1"/>
    </xf>
    <xf numFmtId="166" fontId="6" fillId="0" borderId="1" xfId="1" applyNumberFormat="1" applyFont="1" applyBorder="1" applyAlignment="1">
      <alignment horizontal="right" wrapText="1"/>
    </xf>
    <xf numFmtId="166" fontId="6" fillId="0" borderId="20" xfId="1" applyNumberFormat="1" applyFont="1" applyBorder="1" applyAlignment="1">
      <alignment horizontal="right" wrapText="1"/>
    </xf>
    <xf numFmtId="166" fontId="6" fillId="0" borderId="8" xfId="1" applyNumberFormat="1" applyFont="1" applyBorder="1" applyAlignment="1">
      <alignment horizontal="right" wrapText="1"/>
    </xf>
    <xf numFmtId="9" fontId="6" fillId="0" borderId="0" xfId="3" applyFont="1" applyFill="1" applyBorder="1" applyAlignment="1">
      <alignment horizontal="center" wrapText="1"/>
    </xf>
    <xf numFmtId="0" fontId="4" fillId="0" borderId="0" xfId="0" applyFont="1" applyFill="1"/>
    <xf numFmtId="0" fontId="44" fillId="0" borderId="0" xfId="0" applyFont="1"/>
    <xf numFmtId="0" fontId="45" fillId="6" borderId="0" xfId="0" applyFont="1" applyFill="1" applyBorder="1"/>
    <xf numFmtId="0" fontId="46" fillId="6" borderId="0" xfId="0" applyFont="1" applyFill="1" applyBorder="1"/>
    <xf numFmtId="0" fontId="47" fillId="6" borderId="0" xfId="0" applyFont="1" applyFill="1" applyBorder="1"/>
    <xf numFmtId="0" fontId="16" fillId="0" borderId="0" xfId="0" applyFont="1" applyAlignment="1"/>
    <xf numFmtId="0" fontId="16" fillId="0" borderId="0" xfId="0" applyFont="1"/>
    <xf numFmtId="0" fontId="29" fillId="6" borderId="0" xfId="0" applyFont="1" applyFill="1"/>
    <xf numFmtId="0" fontId="46" fillId="5" borderId="0" xfId="0" applyFont="1" applyFill="1" applyBorder="1"/>
    <xf numFmtId="0" fontId="29" fillId="5" borderId="0" xfId="0" applyFont="1" applyFill="1"/>
    <xf numFmtId="0" fontId="43" fillId="5" borderId="0" xfId="0" applyFont="1" applyFill="1" applyBorder="1"/>
    <xf numFmtId="0" fontId="0" fillId="5" borderId="0" xfId="0" applyFill="1" applyBorder="1" applyAlignment="1">
      <alignment horizontal="center" wrapText="1"/>
    </xf>
    <xf numFmtId="166" fontId="28" fillId="0" borderId="26" xfId="1" applyNumberFormat="1" applyFont="1" applyBorder="1" applyAlignment="1">
      <alignment horizontal="right" wrapText="1"/>
    </xf>
    <xf numFmtId="166" fontId="28" fillId="0" borderId="27" xfId="1" applyNumberFormat="1" applyFont="1" applyBorder="1" applyAlignment="1">
      <alignment horizontal="right" wrapText="1"/>
    </xf>
    <xf numFmtId="165" fontId="28" fillId="0" borderId="25" xfId="0" applyNumberFormat="1" applyFont="1" applyBorder="1"/>
    <xf numFmtId="165" fontId="28" fillId="0" borderId="26" xfId="0" applyNumberFormat="1" applyFont="1" applyBorder="1"/>
    <xf numFmtId="174" fontId="28" fillId="0" borderId="21" xfId="3" applyNumberFormat="1" applyFont="1" applyBorder="1" applyAlignment="1">
      <alignment horizontal="center" wrapText="1"/>
    </xf>
    <xf numFmtId="165" fontId="28" fillId="0" borderId="9" xfId="1" applyNumberFormat="1" applyFont="1" applyBorder="1" applyAlignment="1">
      <alignment horizontal="center" wrapText="1"/>
    </xf>
    <xf numFmtId="179" fontId="6" fillId="0" borderId="25" xfId="3" applyNumberFormat="1" applyFont="1" applyBorder="1"/>
    <xf numFmtId="179" fontId="6" fillId="0" borderId="26" xfId="3" applyNumberFormat="1" applyFont="1" applyBorder="1"/>
    <xf numFmtId="9" fontId="28" fillId="0" borderId="20" xfId="3" applyNumberFormat="1" applyFont="1" applyBorder="1" applyAlignment="1">
      <alignment horizontal="center" wrapText="1"/>
    </xf>
    <xf numFmtId="9" fontId="28" fillId="0" borderId="27" xfId="3" applyNumberFormat="1" applyFont="1" applyBorder="1" applyAlignment="1">
      <alignment horizontal="center" wrapText="1"/>
    </xf>
    <xf numFmtId="165" fontId="28" fillId="0" borderId="14" xfId="1" applyNumberFormat="1" applyFont="1" applyBorder="1" applyAlignment="1">
      <alignment horizontal="center" wrapText="1"/>
    </xf>
    <xf numFmtId="174" fontId="28" fillId="0" borderId="17" xfId="3" applyNumberFormat="1" applyFont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 wrapText="1"/>
    </xf>
    <xf numFmtId="0" fontId="0" fillId="0" borderId="15" xfId="0" applyBorder="1"/>
    <xf numFmtId="0" fontId="8" fillId="0" borderId="0" xfId="0" applyFont="1" applyFill="1" applyBorder="1" applyAlignment="1">
      <alignment vertical="top"/>
    </xf>
    <xf numFmtId="0" fontId="3" fillId="0" borderId="1" xfId="0" applyFont="1" applyBorder="1" applyAlignment="1"/>
    <xf numFmtId="169" fontId="3" fillId="0" borderId="0" xfId="1" applyNumberFormat="1" applyFont="1"/>
    <xf numFmtId="169" fontId="3" fillId="0" borderId="1" xfId="1" applyNumberFormat="1" applyFont="1" applyBorder="1"/>
    <xf numFmtId="174" fontId="48" fillId="0" borderId="0" xfId="3" applyNumberFormat="1" applyFont="1" applyBorder="1"/>
    <xf numFmtId="169" fontId="3" fillId="0" borderId="2" xfId="1" applyNumberFormat="1" applyFont="1" applyBorder="1"/>
    <xf numFmtId="0" fontId="3" fillId="0" borderId="1" xfId="0" applyFont="1" applyBorder="1"/>
    <xf numFmtId="173" fontId="6" fillId="0" borderId="21" xfId="0" applyNumberFormat="1" applyFont="1" applyFill="1" applyBorder="1" applyAlignment="1"/>
    <xf numFmtId="0" fontId="3" fillId="0" borderId="0" xfId="0" applyFont="1" applyFill="1" applyAlignment="1">
      <alignment horizontal="right"/>
    </xf>
    <xf numFmtId="165" fontId="28" fillId="0" borderId="1" xfId="0" applyNumberFormat="1" applyFont="1" applyFill="1" applyBorder="1"/>
    <xf numFmtId="166" fontId="28" fillId="0" borderId="21" xfId="1" applyNumberFormat="1" applyFont="1" applyBorder="1" applyAlignment="1">
      <alignment horizontal="right" wrapText="1"/>
    </xf>
    <xf numFmtId="0" fontId="3" fillId="2" borderId="8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shrinkToFit="1"/>
    </xf>
    <xf numFmtId="0" fontId="3" fillId="2" borderId="15" xfId="0" applyFont="1" applyFill="1" applyBorder="1" applyAlignment="1">
      <alignment horizontal="center" shrinkToFit="1"/>
    </xf>
    <xf numFmtId="0" fontId="3" fillId="2" borderId="18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shrinkToFit="1"/>
    </xf>
    <xf numFmtId="0" fontId="8" fillId="0" borderId="0" xfId="0" applyFont="1" applyAlignment="1">
      <alignment horizontal="left" wrapText="1"/>
    </xf>
    <xf numFmtId="0" fontId="3" fillId="2" borderId="6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169" fontId="0" fillId="0" borderId="29" xfId="1" applyNumberFormat="1" applyFont="1" applyBorder="1" applyAlignment="1">
      <alignment horizontal="center"/>
    </xf>
    <xf numFmtId="169" fontId="0" fillId="0" borderId="30" xfId="1" applyNumberFormat="1" applyFont="1" applyBorder="1" applyAlignment="1">
      <alignment horizontal="center"/>
    </xf>
    <xf numFmtId="169" fontId="0" fillId="0" borderId="31" xfId="1" applyNumberFormat="1" applyFont="1" applyBorder="1" applyAlignment="1">
      <alignment horizontal="center"/>
    </xf>
    <xf numFmtId="169" fontId="4" fillId="0" borderId="22" xfId="1" applyNumberFormat="1" applyFont="1" applyBorder="1" applyAlignment="1">
      <alignment horizontal="center" vertical="center" wrapText="1"/>
    </xf>
    <xf numFmtId="169" fontId="4" fillId="0" borderId="3" xfId="1" applyNumberFormat="1" applyFont="1" applyBorder="1" applyAlignment="1">
      <alignment horizontal="center" vertical="center" wrapText="1"/>
    </xf>
    <xf numFmtId="169" fontId="4" fillId="0" borderId="20" xfId="1" applyNumberFormat="1" applyFont="1" applyBorder="1" applyAlignment="1">
      <alignment horizontal="center" vertical="center" wrapText="1"/>
    </xf>
    <xf numFmtId="0" fontId="36" fillId="3" borderId="18" xfId="0" applyFont="1" applyFill="1" applyBorder="1" applyAlignment="1">
      <alignment horizontal="left" vertical="center"/>
    </xf>
    <xf numFmtId="0" fontId="36" fillId="3" borderId="12" xfId="0" applyFont="1" applyFill="1" applyBorder="1" applyAlignment="1">
      <alignment horizontal="left" vertical="center"/>
    </xf>
    <xf numFmtId="0" fontId="36" fillId="3" borderId="8" xfId="0" applyFont="1" applyFill="1" applyBorder="1" applyAlignment="1">
      <alignment horizontal="left" vertical="center"/>
    </xf>
    <xf numFmtId="0" fontId="36" fillId="3" borderId="19" xfId="0" applyFont="1" applyFill="1" applyBorder="1" applyAlignment="1">
      <alignment horizontal="left" vertical="center"/>
    </xf>
    <xf numFmtId="0" fontId="36" fillId="3" borderId="1" xfId="0" applyFont="1" applyFill="1" applyBorder="1" applyAlignment="1">
      <alignment horizontal="left" vertical="center"/>
    </xf>
    <xf numFmtId="0" fontId="36" fillId="3" borderId="20" xfId="0" applyFont="1" applyFill="1" applyBorder="1" applyAlignment="1">
      <alignment horizontal="left" vertical="center"/>
    </xf>
    <xf numFmtId="0" fontId="0" fillId="0" borderId="12" xfId="0" applyBorder="1"/>
    <xf numFmtId="0" fontId="0" fillId="0" borderId="8" xfId="0" applyBorder="1"/>
    <xf numFmtId="0" fontId="0" fillId="0" borderId="19" xfId="0" applyBorder="1"/>
    <xf numFmtId="0" fontId="0" fillId="0" borderId="1" xfId="0" applyBorder="1"/>
    <xf numFmtId="0" fontId="0" fillId="0" borderId="20" xfId="0" applyBorder="1"/>
    <xf numFmtId="0" fontId="27" fillId="0" borderId="6" xfId="1" applyNumberFormat="1" applyFont="1" applyBorder="1" applyAlignment="1">
      <alignment horizontal="center" wrapText="1"/>
    </xf>
    <xf numFmtId="0" fontId="27" fillId="0" borderId="7" xfId="1" applyNumberFormat="1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169" fontId="1" fillId="0" borderId="29" xfId="1" applyNumberFormat="1" applyFont="1" applyBorder="1" applyAlignment="1">
      <alignment horizontal="center" wrapText="1"/>
    </xf>
    <xf numFmtId="169" fontId="1" fillId="0" borderId="31" xfId="1" applyNumberFormat="1" applyFont="1" applyBorder="1" applyAlignment="1">
      <alignment horizontal="center" wrapText="1"/>
    </xf>
    <xf numFmtId="169" fontId="4" fillId="0" borderId="29" xfId="1" applyNumberFormat="1" applyFont="1" applyBorder="1" applyAlignment="1">
      <alignment horizontal="center" wrapText="1"/>
    </xf>
    <xf numFmtId="169" fontId="4" fillId="0" borderId="31" xfId="1" applyNumberFormat="1" applyFont="1" applyBorder="1" applyAlignment="1">
      <alignment horizontal="center" wrapText="1"/>
    </xf>
    <xf numFmtId="0" fontId="21" fillId="2" borderId="0" xfId="0" applyFont="1" applyFill="1" applyBorder="1" applyAlignment="1">
      <alignment horizontal="center" wrapText="1"/>
    </xf>
    <xf numFmtId="0" fontId="22" fillId="0" borderId="0" xfId="0" applyFont="1" applyBorder="1" applyAlignment="1">
      <alignment horizontal="center" wrapText="1"/>
    </xf>
    <xf numFmtId="0" fontId="22" fillId="0" borderId="13" xfId="0" applyFont="1" applyBorder="1" applyAlignment="1">
      <alignment horizontal="center" wrapText="1"/>
    </xf>
    <xf numFmtId="0" fontId="21" fillId="2" borderId="3" xfId="0" applyFont="1" applyFill="1" applyBorder="1" applyAlignment="1">
      <alignment horizontal="center" wrapText="1"/>
    </xf>
    <xf numFmtId="0" fontId="22" fillId="0" borderId="3" xfId="0" applyFont="1" applyBorder="1" applyAlignment="1">
      <alignment horizontal="center" wrapText="1"/>
    </xf>
    <xf numFmtId="0" fontId="22" fillId="0" borderId="5" xfId="0" applyFont="1" applyBorder="1" applyAlignment="1">
      <alignment horizontal="center" wrapText="1"/>
    </xf>
    <xf numFmtId="0" fontId="21" fillId="2" borderId="16" xfId="0" applyFont="1" applyFill="1" applyBorder="1" applyAlignment="1">
      <alignment horizontal="center" wrapText="1"/>
    </xf>
    <xf numFmtId="0" fontId="22" fillId="0" borderId="16" xfId="0" applyFont="1" applyBorder="1" applyAlignment="1">
      <alignment horizontal="center" wrapText="1"/>
    </xf>
    <xf numFmtId="0" fontId="22" fillId="0" borderId="32" xfId="0" applyFont="1" applyBorder="1" applyAlignment="1">
      <alignment horizontal="center" wrapText="1"/>
    </xf>
    <xf numFmtId="0" fontId="21" fillId="2" borderId="12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 wrapText="1"/>
    </xf>
    <xf numFmtId="0" fontId="21" fillId="2" borderId="24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6" xfId="0" applyFont="1" applyFill="1" applyBorder="1" applyAlignment="1">
      <alignment horizontal="center" wrapText="1"/>
    </xf>
    <xf numFmtId="0" fontId="3" fillId="4" borderId="23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9" fillId="0" borderId="0" xfId="0" applyFont="1" applyAlignment="1">
      <alignment vertical="top" wrapText="1"/>
    </xf>
    <xf numFmtId="0" fontId="3" fillId="2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9" fillId="0" borderId="0" xfId="0" applyFont="1"/>
    <xf numFmtId="0" fontId="50" fillId="0" borderId="0" xfId="0" applyFont="1"/>
    <xf numFmtId="0" fontId="51" fillId="0" borderId="1" xfId="0" quotePrefix="1" applyFont="1" applyBorder="1" applyAlignment="1">
      <alignment horizontal="center"/>
    </xf>
    <xf numFmtId="0" fontId="51" fillId="0" borderId="1" xfId="0" applyFont="1" applyBorder="1"/>
    <xf numFmtId="180" fontId="50" fillId="0" borderId="0" xfId="2" applyNumberFormat="1" applyFont="1"/>
    <xf numFmtId="164" fontId="50" fillId="0" borderId="0" xfId="2" applyNumberFormat="1" applyFont="1"/>
    <xf numFmtId="180" fontId="50" fillId="0" borderId="0" xfId="2" applyNumberFormat="1" applyFont="1" applyAlignment="1">
      <alignment horizontal="right"/>
    </xf>
    <xf numFmtId="41" fontId="50" fillId="0" borderId="0" xfId="2" applyNumberFormat="1" applyFont="1"/>
    <xf numFmtId="41" fontId="50" fillId="0" borderId="0" xfId="2" applyNumberFormat="1" applyFont="1" applyAlignment="1">
      <alignment horizontal="right"/>
    </xf>
    <xf numFmtId="41" fontId="50" fillId="0" borderId="0" xfId="1" applyNumberFormat="1" applyFont="1"/>
    <xf numFmtId="41" fontId="50" fillId="0" borderId="0" xfId="1" applyNumberFormat="1" applyFont="1" applyBorder="1"/>
    <xf numFmtId="41" fontId="50" fillId="0" borderId="1" xfId="1" applyNumberFormat="1" applyFont="1" applyBorder="1"/>
    <xf numFmtId="0" fontId="51" fillId="0" borderId="0" xfId="0" applyFont="1"/>
    <xf numFmtId="169" fontId="51" fillId="0" borderId="12" xfId="1" applyNumberFormat="1" applyFont="1" applyBorder="1"/>
    <xf numFmtId="169" fontId="51" fillId="0" borderId="0" xfId="1" applyNumberFormat="1" applyFont="1"/>
    <xf numFmtId="41" fontId="51" fillId="0" borderId="0" xfId="1" applyNumberFormat="1" applyFont="1"/>
    <xf numFmtId="169" fontId="50" fillId="0" borderId="0" xfId="1" applyNumberFormat="1" applyFont="1"/>
    <xf numFmtId="169" fontId="50" fillId="0" borderId="1" xfId="1" applyNumberFormat="1" applyFont="1" applyBorder="1"/>
    <xf numFmtId="169" fontId="50" fillId="0" borderId="0" xfId="1" applyNumberFormat="1" applyFont="1" applyBorder="1"/>
    <xf numFmtId="164" fontId="51" fillId="0" borderId="26" xfId="2" applyNumberFormat="1" applyFont="1" applyBorder="1"/>
    <xf numFmtId="164" fontId="51" fillId="0" borderId="26" xfId="2" applyNumberFormat="1" applyFont="1" applyFill="1" applyBorder="1"/>
    <xf numFmtId="164" fontId="50" fillId="0" borderId="0" xfId="2" applyNumberFormat="1" applyFont="1" applyBorder="1"/>
    <xf numFmtId="166" fontId="50" fillId="0" borderId="0" xfId="1" applyNumberFormat="1" applyFont="1" applyFill="1" applyBorder="1"/>
    <xf numFmtId="166" fontId="50" fillId="0" borderId="0" xfId="1" applyNumberFormat="1" applyFont="1"/>
    <xf numFmtId="44" fontId="51" fillId="0" borderId="0" xfId="2" applyFont="1" applyBorder="1"/>
    <xf numFmtId="0" fontId="53" fillId="0" borderId="0" xfId="0" applyFont="1" applyFill="1" applyBorder="1" applyAlignment="1">
      <alignment vertical="top" wrapText="1"/>
    </xf>
    <xf numFmtId="0" fontId="53" fillId="0" borderId="0" xfId="0" applyFont="1" applyFill="1" applyBorder="1" applyAlignment="1">
      <alignment vertical="top"/>
    </xf>
    <xf numFmtId="0" fontId="50" fillId="0" borderId="0" xfId="0" applyFont="1" applyBorder="1"/>
    <xf numFmtId="166" fontId="50" fillId="0" borderId="0" xfId="1" applyNumberFormat="1" applyFont="1" applyBorder="1"/>
    <xf numFmtId="44" fontId="50" fillId="0" borderId="0" xfId="2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4</xdr:row>
      <xdr:rowOff>0</xdr:rowOff>
    </xdr:from>
    <xdr:to>
      <xdr:col>15</xdr:col>
      <xdr:colOff>57150</xdr:colOff>
      <xdr:row>4</xdr:row>
      <xdr:rowOff>0</xdr:rowOff>
    </xdr:to>
    <xdr:sp macro="" textlink="">
      <xdr:nvSpPr>
        <xdr:cNvPr id="5204" name="Line 3">
          <a:extLst>
            <a:ext uri="{FF2B5EF4-FFF2-40B4-BE49-F238E27FC236}">
              <a16:creationId xmlns:a16="http://schemas.microsoft.com/office/drawing/2014/main" id="{00000000-0008-0000-0600-000054140000}"/>
            </a:ext>
          </a:extLst>
        </xdr:cNvPr>
        <xdr:cNvSpPr>
          <a:spLocks noChangeShapeType="1"/>
        </xdr:cNvSpPr>
      </xdr:nvSpPr>
      <xdr:spPr bwMode="auto">
        <a:xfrm>
          <a:off x="4686300" y="838200"/>
          <a:ext cx="0" cy="0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133350</xdr:colOff>
      <xdr:row>7</xdr:row>
      <xdr:rowOff>161925</xdr:rowOff>
    </xdr:from>
    <xdr:to>
      <xdr:col>15</xdr:col>
      <xdr:colOff>133350</xdr:colOff>
      <xdr:row>31</xdr:row>
      <xdr:rowOff>142875</xdr:rowOff>
    </xdr:to>
    <xdr:sp macro="" textlink="">
      <xdr:nvSpPr>
        <xdr:cNvPr id="5205" name="Line 4">
          <a:extLst>
            <a:ext uri="{FF2B5EF4-FFF2-40B4-BE49-F238E27FC236}">
              <a16:creationId xmlns:a16="http://schemas.microsoft.com/office/drawing/2014/main" id="{00000000-0008-0000-0600-000055140000}"/>
            </a:ext>
          </a:extLst>
        </xdr:cNvPr>
        <xdr:cNvSpPr>
          <a:spLocks noChangeShapeType="1"/>
        </xdr:cNvSpPr>
      </xdr:nvSpPr>
      <xdr:spPr bwMode="auto">
        <a:xfrm>
          <a:off x="4762500" y="1485900"/>
          <a:ext cx="0" cy="4095750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22"/>
  <sheetViews>
    <sheetView workbookViewId="0">
      <pane xSplit="1" ySplit="8" topLeftCell="B30" activePane="bottomRight" state="frozen"/>
      <selection pane="topRight" activeCell="B1" sqref="B1"/>
      <selection pane="bottomLeft" activeCell="A9" sqref="A9"/>
      <selection pane="bottomRight" activeCell="P36" sqref="P36"/>
    </sheetView>
  </sheetViews>
  <sheetFormatPr defaultRowHeight="12.75" outlineLevelCol="1" x14ac:dyDescent="0.2"/>
  <cols>
    <col min="1" max="1" width="9.42578125" bestFit="1" customWidth="1"/>
    <col min="2" max="2" width="9.7109375" bestFit="1" customWidth="1"/>
    <col min="3" max="3" width="8.5703125" customWidth="1"/>
    <col min="4" max="6" width="9.85546875" hidden="1" customWidth="1" outlineLevel="1"/>
    <col min="7" max="7" width="7.7109375" bestFit="1" customWidth="1" collapsed="1"/>
    <col min="8" max="8" width="10" customWidth="1"/>
    <col min="9" max="9" width="9.7109375" customWidth="1"/>
    <col min="10" max="10" width="8.140625" style="2" customWidth="1"/>
    <col min="11" max="11" width="7.7109375" style="2" bestFit="1" customWidth="1"/>
    <col min="12" max="12" width="6.85546875" customWidth="1"/>
    <col min="13" max="13" width="12.28515625" customWidth="1"/>
    <col min="14" max="14" width="7.42578125" customWidth="1"/>
    <col min="15" max="15" width="7.7109375" bestFit="1" customWidth="1"/>
    <col min="16" max="16" width="7.28515625" bestFit="1" customWidth="1"/>
    <col min="17" max="17" width="7.42578125" customWidth="1"/>
    <col min="18" max="18" width="10" bestFit="1" customWidth="1"/>
    <col min="19" max="19" width="8.7109375" customWidth="1"/>
    <col min="20" max="20" width="9.85546875" customWidth="1"/>
    <col min="21" max="21" width="8" customWidth="1"/>
    <col min="22" max="22" width="7.7109375" bestFit="1" customWidth="1"/>
    <col min="23" max="23" width="8" customWidth="1"/>
    <col min="24" max="24" width="10" bestFit="1" customWidth="1"/>
    <col min="25" max="25" width="8.7109375" customWidth="1"/>
  </cols>
  <sheetData>
    <row r="1" spans="1:25" ht="30" x14ac:dyDescent="0.4">
      <c r="A1" s="345" t="s">
        <v>249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7"/>
    </row>
    <row r="2" spans="1:25" ht="30" x14ac:dyDescent="0.4">
      <c r="A2" s="348" t="s">
        <v>185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49"/>
      <c r="Y2" s="350"/>
    </row>
    <row r="4" spans="1:25" x14ac:dyDescent="0.2">
      <c r="A4" s="27"/>
      <c r="B4" s="473" t="s">
        <v>16</v>
      </c>
      <c r="C4" s="474"/>
      <c r="D4" s="474"/>
      <c r="E4" s="474"/>
      <c r="F4" s="474"/>
      <c r="G4" s="474"/>
      <c r="H4" s="474"/>
      <c r="I4" s="474"/>
      <c r="J4" s="474"/>
      <c r="K4" s="474"/>
      <c r="L4" s="474"/>
      <c r="M4" s="474"/>
      <c r="N4" s="473" t="s">
        <v>214</v>
      </c>
      <c r="O4" s="476"/>
      <c r="P4" s="466" t="s">
        <v>116</v>
      </c>
      <c r="Q4" s="467"/>
      <c r="R4" s="467"/>
      <c r="S4" s="467"/>
      <c r="T4" s="475" t="s">
        <v>48</v>
      </c>
      <c r="U4" s="476"/>
      <c r="V4" s="466" t="s">
        <v>116</v>
      </c>
      <c r="W4" s="467"/>
      <c r="X4" s="467"/>
      <c r="Y4" s="471"/>
    </row>
    <row r="5" spans="1:25" x14ac:dyDescent="0.2">
      <c r="A5" s="464" t="s">
        <v>9</v>
      </c>
      <c r="B5" s="468" t="s">
        <v>17</v>
      </c>
      <c r="C5" s="463" t="s">
        <v>87</v>
      </c>
      <c r="D5" s="98"/>
      <c r="E5" s="98"/>
      <c r="F5" s="98"/>
      <c r="G5" s="463" t="s">
        <v>88</v>
      </c>
      <c r="H5" s="463" t="s">
        <v>18</v>
      </c>
      <c r="I5" s="463" t="s">
        <v>19</v>
      </c>
      <c r="J5" s="463" t="s">
        <v>49</v>
      </c>
      <c r="K5" s="98"/>
      <c r="L5" s="463" t="s">
        <v>50</v>
      </c>
      <c r="M5" s="463" t="s">
        <v>20</v>
      </c>
      <c r="N5" s="468" t="s">
        <v>213</v>
      </c>
      <c r="O5" s="460" t="s">
        <v>214</v>
      </c>
      <c r="P5" s="466" t="s">
        <v>47</v>
      </c>
      <c r="Q5" s="467"/>
      <c r="R5" s="467"/>
      <c r="S5" s="467"/>
      <c r="T5" s="468" t="s">
        <v>215</v>
      </c>
      <c r="U5" s="59"/>
      <c r="V5" s="466" t="s">
        <v>119</v>
      </c>
      <c r="W5" s="467"/>
      <c r="X5" s="467"/>
      <c r="Y5" s="471"/>
    </row>
    <row r="6" spans="1:25" x14ac:dyDescent="0.2">
      <c r="A6" s="464"/>
      <c r="B6" s="469"/>
      <c r="C6" s="464"/>
      <c r="D6" s="11"/>
      <c r="E6" s="11"/>
      <c r="F6" s="11"/>
      <c r="G6" s="464"/>
      <c r="H6" s="464"/>
      <c r="I6" s="464"/>
      <c r="J6" s="464"/>
      <c r="K6" s="11"/>
      <c r="L6" s="464"/>
      <c r="M6" s="464"/>
      <c r="N6" s="469"/>
      <c r="O6" s="461"/>
      <c r="P6" s="468" t="s">
        <v>21</v>
      </c>
      <c r="Q6" s="463" t="s">
        <v>120</v>
      </c>
      <c r="R6" s="463" t="s">
        <v>117</v>
      </c>
      <c r="S6" s="460" t="s">
        <v>118</v>
      </c>
      <c r="T6" s="469"/>
      <c r="U6" s="58"/>
      <c r="V6" s="468" t="s">
        <v>21</v>
      </c>
      <c r="W6" s="463" t="s">
        <v>120</v>
      </c>
      <c r="X6" s="463" t="s">
        <v>117</v>
      </c>
      <c r="Y6" s="460" t="s">
        <v>118</v>
      </c>
    </row>
    <row r="7" spans="1:25" x14ac:dyDescent="0.2">
      <c r="A7" s="464"/>
      <c r="B7" s="469"/>
      <c r="C7" s="464"/>
      <c r="D7" s="11" t="s">
        <v>121</v>
      </c>
      <c r="E7" s="11" t="s">
        <v>123</v>
      </c>
      <c r="F7" s="11" t="s">
        <v>125</v>
      </c>
      <c r="G7" s="464"/>
      <c r="H7" s="464"/>
      <c r="I7" s="464"/>
      <c r="J7" s="464"/>
      <c r="K7" s="11" t="s">
        <v>146</v>
      </c>
      <c r="L7" s="464"/>
      <c r="M7" s="464"/>
      <c r="N7" s="469"/>
      <c r="O7" s="461"/>
      <c r="P7" s="469"/>
      <c r="Q7" s="464"/>
      <c r="R7" s="464"/>
      <c r="S7" s="461"/>
      <c r="T7" s="469"/>
      <c r="U7" s="58" t="s">
        <v>52</v>
      </c>
      <c r="V7" s="469"/>
      <c r="W7" s="464"/>
      <c r="X7" s="464"/>
      <c r="Y7" s="461"/>
    </row>
    <row r="8" spans="1:25" ht="15" thickBot="1" x14ac:dyDescent="0.25">
      <c r="A8" s="465"/>
      <c r="B8" s="470"/>
      <c r="C8" s="465"/>
      <c r="D8" s="99" t="s">
        <v>122</v>
      </c>
      <c r="E8" s="99" t="s">
        <v>124</v>
      </c>
      <c r="F8" s="99" t="s">
        <v>122</v>
      </c>
      <c r="G8" s="465"/>
      <c r="H8" s="465"/>
      <c r="I8" s="465"/>
      <c r="J8" s="465"/>
      <c r="K8" s="99" t="s">
        <v>147</v>
      </c>
      <c r="L8" s="465"/>
      <c r="M8" s="465"/>
      <c r="N8" s="470"/>
      <c r="O8" s="462"/>
      <c r="P8" s="470"/>
      <c r="Q8" s="465"/>
      <c r="R8" s="465"/>
      <c r="S8" s="462"/>
      <c r="T8" s="470"/>
      <c r="U8" s="55" t="s">
        <v>182</v>
      </c>
      <c r="V8" s="470"/>
      <c r="W8" s="465"/>
      <c r="X8" s="465"/>
      <c r="Y8" s="462"/>
    </row>
    <row r="9" spans="1:25" ht="13.5" thickBot="1" x14ac:dyDescent="0.25">
      <c r="A9" s="11"/>
      <c r="B9" s="477" t="s">
        <v>22</v>
      </c>
      <c r="C9" s="478"/>
      <c r="D9" s="478"/>
      <c r="E9" s="478"/>
      <c r="F9" s="478"/>
      <c r="G9" s="478"/>
      <c r="H9" s="479"/>
      <c r="I9" s="28"/>
      <c r="J9" s="28"/>
      <c r="K9" s="28"/>
      <c r="L9" s="28"/>
      <c r="M9" s="29"/>
      <c r="N9" s="28"/>
      <c r="O9" s="28"/>
      <c r="P9" s="30"/>
      <c r="Q9" s="45"/>
      <c r="R9" s="28"/>
      <c r="S9" s="29"/>
      <c r="T9" s="28"/>
      <c r="U9" s="28"/>
      <c r="V9" s="30"/>
      <c r="W9" s="45"/>
      <c r="X9" s="28"/>
      <c r="Y9" s="29"/>
    </row>
    <row r="10" spans="1:25" x14ac:dyDescent="0.2">
      <c r="A10" s="12">
        <v>1967</v>
      </c>
      <c r="B10" s="107">
        <v>13.331</v>
      </c>
      <c r="C10" s="108">
        <v>2.1669999999999998</v>
      </c>
      <c r="D10" s="108">
        <v>2.1669999999999998</v>
      </c>
      <c r="E10" s="108"/>
      <c r="F10" s="109">
        <v>1.409</v>
      </c>
      <c r="G10" s="109">
        <v>1.409</v>
      </c>
      <c r="H10" s="480" t="s">
        <v>53</v>
      </c>
      <c r="I10" s="108">
        <v>0.80100000000000005</v>
      </c>
      <c r="J10" s="110">
        <v>9.6000000000000002E-2</v>
      </c>
      <c r="K10" s="110"/>
      <c r="L10" s="108">
        <v>0.29399999999999998</v>
      </c>
      <c r="M10" s="111">
        <v>0.41099999999999998</v>
      </c>
      <c r="N10" s="108"/>
      <c r="O10" s="108"/>
      <c r="P10" s="112">
        <v>1.2</v>
      </c>
      <c r="Q10" s="94"/>
      <c r="R10" s="94">
        <v>0.495</v>
      </c>
      <c r="S10" s="113">
        <v>6.875</v>
      </c>
      <c r="T10" s="108">
        <v>0.34200000000000003</v>
      </c>
      <c r="U10" s="114"/>
      <c r="V10" s="115">
        <v>1.2999999999999999E-2</v>
      </c>
      <c r="W10" s="95"/>
      <c r="X10" s="116">
        <v>5.4999999999999997E-3</v>
      </c>
      <c r="Y10" s="113">
        <v>7.5999999999999998E-2</v>
      </c>
    </row>
    <row r="11" spans="1:25" x14ac:dyDescent="0.2">
      <c r="A11" s="12">
        <v>1968</v>
      </c>
      <c r="B11" s="107">
        <v>17.326000000000001</v>
      </c>
      <c r="C11" s="108">
        <v>3.32</v>
      </c>
      <c r="D11" s="108">
        <v>3.32</v>
      </c>
      <c r="E11" s="108"/>
      <c r="F11" s="107">
        <v>2.0680000000000001</v>
      </c>
      <c r="G11" s="107">
        <v>2.0680000000000001</v>
      </c>
      <c r="H11" s="481"/>
      <c r="I11" s="108">
        <v>1.3069999999999999</v>
      </c>
      <c r="J11" s="110">
        <v>0.17899999999999999</v>
      </c>
      <c r="K11" s="110"/>
      <c r="L11" s="108">
        <v>0.54500000000000004</v>
      </c>
      <c r="M11" s="111">
        <v>0.58299999999999996</v>
      </c>
      <c r="N11" s="108"/>
      <c r="O11" s="108"/>
      <c r="P11" s="112">
        <v>1.6</v>
      </c>
      <c r="Q11" s="94"/>
      <c r="R11" s="94">
        <v>0.56000000000000005</v>
      </c>
      <c r="S11" s="113">
        <v>25</v>
      </c>
      <c r="T11" s="108">
        <v>0.36399999999999999</v>
      </c>
      <c r="U11" s="114"/>
      <c r="V11" s="115">
        <v>1.7000000000000001E-2</v>
      </c>
      <c r="W11" s="95"/>
      <c r="X11" s="116">
        <v>6.1999999999999998E-3</v>
      </c>
      <c r="Y11" s="113">
        <v>0.28000000000000003</v>
      </c>
    </row>
    <row r="12" spans="1:25" x14ac:dyDescent="0.2">
      <c r="A12" s="12">
        <v>1969</v>
      </c>
      <c r="B12" s="107">
        <v>25.170999999999999</v>
      </c>
      <c r="C12" s="108">
        <v>4.6589999999999998</v>
      </c>
      <c r="D12" s="108">
        <v>4.6589999999999998</v>
      </c>
      <c r="E12" s="108"/>
      <c r="F12" s="107">
        <v>2.944</v>
      </c>
      <c r="G12" s="107">
        <v>2.944</v>
      </c>
      <c r="H12" s="481"/>
      <c r="I12" s="108">
        <v>1.715044</v>
      </c>
      <c r="J12" s="110">
        <v>0.34699999999999998</v>
      </c>
      <c r="K12" s="110"/>
      <c r="L12" s="108">
        <v>0.623</v>
      </c>
      <c r="M12" s="111">
        <v>0.745</v>
      </c>
      <c r="N12" s="108"/>
      <c r="O12" s="108"/>
      <c r="P12" s="112">
        <v>0.93</v>
      </c>
      <c r="Q12" s="94"/>
      <c r="R12" s="94">
        <v>0.35399999999999998</v>
      </c>
      <c r="S12" s="113">
        <v>21.125</v>
      </c>
      <c r="T12" s="108">
        <v>0.80500000000000005</v>
      </c>
      <c r="U12" s="117" t="s">
        <v>54</v>
      </c>
      <c r="V12" s="115">
        <v>1.7000000000000001E-2</v>
      </c>
      <c r="W12" s="95"/>
      <c r="X12" s="116">
        <v>6.6E-3</v>
      </c>
      <c r="Y12" s="113">
        <v>0.39</v>
      </c>
    </row>
    <row r="13" spans="1:25" x14ac:dyDescent="0.2">
      <c r="A13" s="13">
        <v>1970</v>
      </c>
      <c r="B13" s="118">
        <v>30.143999999999998</v>
      </c>
      <c r="C13" s="119">
        <v>6.274</v>
      </c>
      <c r="D13" s="119">
        <v>6.274</v>
      </c>
      <c r="E13" s="119"/>
      <c r="F13" s="118">
        <v>4.0179999999999998</v>
      </c>
      <c r="G13" s="118">
        <v>4.0179999999999998</v>
      </c>
      <c r="H13" s="481"/>
      <c r="I13" s="119">
        <v>2.2559999999999998</v>
      </c>
      <c r="J13" s="120">
        <v>0.57799999999999996</v>
      </c>
      <c r="K13" s="120"/>
      <c r="L13" s="119">
        <v>0.72099999999999997</v>
      </c>
      <c r="M13" s="121">
        <v>0.95699999999999996</v>
      </c>
      <c r="N13" s="119"/>
      <c r="O13" s="119"/>
      <c r="P13" s="122">
        <v>0.98</v>
      </c>
      <c r="Q13" s="123"/>
      <c r="R13" s="123">
        <v>0.36</v>
      </c>
      <c r="S13" s="124">
        <v>12.75</v>
      </c>
      <c r="T13" s="119">
        <v>0.97799999999999998</v>
      </c>
      <c r="U13" s="125"/>
      <c r="V13" s="126">
        <v>1.7999999999999999E-2</v>
      </c>
      <c r="W13" s="127"/>
      <c r="X13" s="128">
        <v>6.7000000000000002E-3</v>
      </c>
      <c r="Y13" s="124">
        <v>0.24</v>
      </c>
    </row>
    <row r="14" spans="1:25" x14ac:dyDescent="0.2">
      <c r="A14" s="12">
        <v>1971</v>
      </c>
      <c r="B14" s="107">
        <v>37.042000000000002</v>
      </c>
      <c r="C14" s="108">
        <v>7.7709999999999999</v>
      </c>
      <c r="D14" s="108">
        <v>7.7709999999999999</v>
      </c>
      <c r="E14" s="108"/>
      <c r="F14" s="107">
        <v>4.7530000000000001</v>
      </c>
      <c r="G14" s="107">
        <v>4.7530000000000001</v>
      </c>
      <c r="H14" s="481"/>
      <c r="I14" s="108">
        <v>3.0190000000000001</v>
      </c>
      <c r="J14" s="110">
        <v>0.67600000000000005</v>
      </c>
      <c r="K14" s="110"/>
      <c r="L14" s="108">
        <v>1.1399999999999999</v>
      </c>
      <c r="M14" s="111">
        <v>1.2030000000000001</v>
      </c>
      <c r="N14" s="108"/>
      <c r="O14" s="108"/>
      <c r="P14" s="112">
        <v>1.1599999999999999</v>
      </c>
      <c r="Q14" s="94"/>
      <c r="R14" s="94">
        <v>0.36</v>
      </c>
      <c r="S14" s="113">
        <v>17.375</v>
      </c>
      <c r="T14" s="108">
        <v>1.038</v>
      </c>
      <c r="U14" s="114"/>
      <c r="V14" s="115">
        <v>2.1000000000000001E-2</v>
      </c>
      <c r="W14" s="95"/>
      <c r="X14" s="116">
        <v>6.7000000000000002E-3</v>
      </c>
      <c r="Y14" s="113">
        <v>0.32</v>
      </c>
    </row>
    <row r="15" spans="1:25" x14ac:dyDescent="0.2">
      <c r="A15" s="12">
        <v>1972</v>
      </c>
      <c r="B15" s="107">
        <v>58.493000000000002</v>
      </c>
      <c r="C15" s="108">
        <v>13.362</v>
      </c>
      <c r="D15" s="108">
        <v>13.362</v>
      </c>
      <c r="E15" s="108"/>
      <c r="F15" s="107">
        <v>7.992</v>
      </c>
      <c r="G15" s="107">
        <v>7.992</v>
      </c>
      <c r="H15" s="481"/>
      <c r="I15" s="108">
        <v>5.370539</v>
      </c>
      <c r="J15" s="110">
        <v>0.67900000000000005</v>
      </c>
      <c r="K15" s="110"/>
      <c r="L15" s="108">
        <v>2.23</v>
      </c>
      <c r="M15" s="111">
        <v>2.4620000000000002</v>
      </c>
      <c r="N15" s="108"/>
      <c r="O15" s="108"/>
      <c r="P15" s="112">
        <v>1.07</v>
      </c>
      <c r="Q15" s="94"/>
      <c r="R15" s="94">
        <v>0.25</v>
      </c>
      <c r="S15" s="113">
        <v>34.625</v>
      </c>
      <c r="T15" s="108">
        <v>2.3090000000000002</v>
      </c>
      <c r="U15" s="114"/>
      <c r="V15" s="115">
        <v>0.03</v>
      </c>
      <c r="W15" s="95"/>
      <c r="X15" s="116">
        <v>6.8999999999999999E-3</v>
      </c>
      <c r="Y15" s="113">
        <v>0.64</v>
      </c>
    </row>
    <row r="16" spans="1:25" x14ac:dyDescent="0.2">
      <c r="A16" s="12">
        <v>1973</v>
      </c>
      <c r="B16" s="107">
        <v>82.192999999999998</v>
      </c>
      <c r="C16" s="108">
        <v>19.568999999999999</v>
      </c>
      <c r="D16" s="108">
        <v>19.568999999999999</v>
      </c>
      <c r="E16" s="108"/>
      <c r="F16" s="118">
        <v>11.167</v>
      </c>
      <c r="G16" s="118">
        <v>11.167</v>
      </c>
      <c r="H16" s="482"/>
      <c r="I16" s="108">
        <v>8.4019740000000009</v>
      </c>
      <c r="J16" s="110">
        <v>1.4570000000000001</v>
      </c>
      <c r="K16" s="110"/>
      <c r="L16" s="108">
        <v>3.2509999999999999</v>
      </c>
      <c r="M16" s="111">
        <v>3.694</v>
      </c>
      <c r="N16" s="108"/>
      <c r="O16" s="108"/>
      <c r="P16" s="112">
        <v>1.44</v>
      </c>
      <c r="Q16" s="94"/>
      <c r="R16" s="94">
        <v>0.26</v>
      </c>
      <c r="S16" s="113">
        <v>9.875</v>
      </c>
      <c r="T16" s="108">
        <v>2.5710000000000002</v>
      </c>
      <c r="U16" s="117" t="s">
        <v>55</v>
      </c>
      <c r="V16" s="115">
        <v>0.04</v>
      </c>
      <c r="W16" s="95"/>
      <c r="X16" s="116">
        <v>7.1999999999999998E-3</v>
      </c>
      <c r="Y16" s="113">
        <v>0.27</v>
      </c>
    </row>
    <row r="17" spans="1:25" x14ac:dyDescent="0.2">
      <c r="A17" s="12">
        <v>1974</v>
      </c>
      <c r="B17" s="107">
        <v>94.382000000000005</v>
      </c>
      <c r="C17" s="108">
        <v>21.445</v>
      </c>
      <c r="D17" s="108">
        <v>21.445</v>
      </c>
      <c r="E17" s="108"/>
      <c r="F17" s="108">
        <v>11.372</v>
      </c>
      <c r="G17" s="108">
        <v>11.372</v>
      </c>
      <c r="H17" s="108">
        <v>0.247922</v>
      </c>
      <c r="I17" s="108">
        <v>9.3330000000000002</v>
      </c>
      <c r="J17" s="110">
        <v>2.7389999999999999</v>
      </c>
      <c r="K17" s="110"/>
      <c r="L17" s="108">
        <v>3.3159999999999998</v>
      </c>
      <c r="M17" s="111">
        <v>3.278</v>
      </c>
      <c r="N17" s="108"/>
      <c r="O17" s="108"/>
      <c r="P17" s="112">
        <v>1.25</v>
      </c>
      <c r="Q17" s="94"/>
      <c r="R17" s="94">
        <v>0.28999999999999998</v>
      </c>
      <c r="S17" s="113">
        <v>5.25</v>
      </c>
      <c r="T17" s="108">
        <v>2.6190000000000002</v>
      </c>
      <c r="U17" s="114"/>
      <c r="V17" s="115">
        <v>3.5000000000000003E-2</v>
      </c>
      <c r="W17" s="95"/>
      <c r="X17" s="116">
        <v>8.0999999999999996E-3</v>
      </c>
      <c r="Y17" s="113">
        <v>0.15</v>
      </c>
    </row>
    <row r="18" spans="1:25" x14ac:dyDescent="0.2">
      <c r="A18" s="13">
        <v>1975</v>
      </c>
      <c r="B18" s="118">
        <v>98.314999999999998</v>
      </c>
      <c r="C18" s="119">
        <v>21.992000000000001</v>
      </c>
      <c r="D18" s="119">
        <v>21.992000000000001</v>
      </c>
      <c r="E18" s="119"/>
      <c r="F18" s="119">
        <v>12.925000000000001</v>
      </c>
      <c r="G18" s="119">
        <v>12.925000000000001</v>
      </c>
      <c r="H18" s="119">
        <v>0.230492</v>
      </c>
      <c r="I18" s="119">
        <v>8.6639999999999997</v>
      </c>
      <c r="J18" s="120">
        <v>1.9770000000000001</v>
      </c>
      <c r="K18" s="120"/>
      <c r="L18" s="119">
        <v>3.4569999999999999</v>
      </c>
      <c r="M18" s="121">
        <v>3.23</v>
      </c>
      <c r="N18" s="119"/>
      <c r="O18" s="119"/>
      <c r="P18" s="122">
        <v>1.23</v>
      </c>
      <c r="Q18" s="123"/>
      <c r="R18" s="123">
        <v>0.32</v>
      </c>
      <c r="S18" s="124">
        <v>7.625</v>
      </c>
      <c r="T18" s="119">
        <v>2.625</v>
      </c>
      <c r="U18" s="125"/>
      <c r="V18" s="126">
        <v>3.4000000000000002E-2</v>
      </c>
      <c r="W18" s="127"/>
      <c r="X18" s="128">
        <v>8.8999999999999999E-3</v>
      </c>
      <c r="Y18" s="124">
        <v>0.21</v>
      </c>
    </row>
    <row r="19" spans="1:25" x14ac:dyDescent="0.2">
      <c r="A19" s="12">
        <v>1976</v>
      </c>
      <c r="B19" s="107">
        <v>117.69199999999999</v>
      </c>
      <c r="C19" s="108">
        <v>27.888000000000002</v>
      </c>
      <c r="D19" s="108">
        <v>27.888000000000002</v>
      </c>
      <c r="E19" s="108"/>
      <c r="F19" s="108">
        <v>14.76</v>
      </c>
      <c r="G19" s="108">
        <v>14.76</v>
      </c>
      <c r="H19" s="108">
        <v>0.55375199999999991</v>
      </c>
      <c r="I19" s="108">
        <v>12.327</v>
      </c>
      <c r="J19" s="110">
        <v>1.456</v>
      </c>
      <c r="K19" s="110"/>
      <c r="L19" s="108">
        <v>5.569</v>
      </c>
      <c r="M19" s="111">
        <v>5.3019999999999996</v>
      </c>
      <c r="N19" s="108"/>
      <c r="O19" s="108"/>
      <c r="P19" s="112">
        <v>1.99</v>
      </c>
      <c r="Q19" s="94"/>
      <c r="R19" s="94">
        <v>0.36</v>
      </c>
      <c r="S19" s="113">
        <v>12.75</v>
      </c>
      <c r="T19" s="108">
        <v>2.66</v>
      </c>
      <c r="U19" s="114"/>
      <c r="V19" s="115">
        <v>5.5E-2</v>
      </c>
      <c r="W19" s="95"/>
      <c r="X19" s="95">
        <v>0.01</v>
      </c>
      <c r="Y19" s="113">
        <v>0.35</v>
      </c>
    </row>
    <row r="20" spans="1:25" x14ac:dyDescent="0.2">
      <c r="A20" s="12">
        <v>1977</v>
      </c>
      <c r="B20" s="107">
        <v>156.88</v>
      </c>
      <c r="C20" s="108">
        <v>33.218000000000004</v>
      </c>
      <c r="D20" s="108">
        <v>33.218000000000004</v>
      </c>
      <c r="E20" s="108"/>
      <c r="F20" s="108">
        <v>18.079000000000001</v>
      </c>
      <c r="G20" s="108">
        <v>18.079000000000001</v>
      </c>
      <c r="H20" s="108">
        <v>0.46068200000000004</v>
      </c>
      <c r="I20" s="108">
        <v>14.678000000000001</v>
      </c>
      <c r="J20" s="110">
        <v>1.8660000000000001</v>
      </c>
      <c r="K20" s="110"/>
      <c r="L20" s="108">
        <v>6.306</v>
      </c>
      <c r="M20" s="111">
        <v>6.5060000000000002</v>
      </c>
      <c r="N20" s="108"/>
      <c r="O20" s="108"/>
      <c r="P20" s="112">
        <v>2.4300000000000002</v>
      </c>
      <c r="Q20" s="94"/>
      <c r="R20" s="94">
        <v>0.44</v>
      </c>
      <c r="S20" s="113">
        <v>16.75</v>
      </c>
      <c r="T20" s="108">
        <v>2.677</v>
      </c>
      <c r="U20" s="114"/>
      <c r="V20" s="115">
        <v>6.8000000000000005E-2</v>
      </c>
      <c r="W20" s="95"/>
      <c r="X20" s="95">
        <v>1.2200000000000001E-2</v>
      </c>
      <c r="Y20" s="113">
        <v>0.47</v>
      </c>
    </row>
    <row r="21" spans="1:25" x14ac:dyDescent="0.2">
      <c r="A21" s="12">
        <v>1978</v>
      </c>
      <c r="B21" s="107">
        <v>179.749</v>
      </c>
      <c r="C21" s="108">
        <v>38.548999999999999</v>
      </c>
      <c r="D21" s="108">
        <v>38.548999999999999</v>
      </c>
      <c r="E21" s="108"/>
      <c r="F21" s="108">
        <v>20.04</v>
      </c>
      <c r="G21" s="108">
        <v>20.04</v>
      </c>
      <c r="H21" s="108">
        <v>0.88800000000000001</v>
      </c>
      <c r="I21" s="108">
        <v>18.646999999999998</v>
      </c>
      <c r="J21" s="110">
        <v>2.5409999999999999</v>
      </c>
      <c r="K21" s="110"/>
      <c r="L21" s="108">
        <v>7.24</v>
      </c>
      <c r="M21" s="111">
        <v>8.8659999999999997</v>
      </c>
      <c r="N21" s="108"/>
      <c r="O21" s="108"/>
      <c r="P21" s="112">
        <v>2.2000000000000002</v>
      </c>
      <c r="Q21" s="94"/>
      <c r="R21" s="94">
        <v>0.35299999999999998</v>
      </c>
      <c r="S21" s="113">
        <v>13.375</v>
      </c>
      <c r="T21" s="108">
        <v>4.0350000000000001</v>
      </c>
      <c r="U21" s="117" t="s">
        <v>55</v>
      </c>
      <c r="V21" s="115">
        <v>9.1999999999999998E-2</v>
      </c>
      <c r="W21" s="95"/>
      <c r="X21" s="95">
        <v>1.47E-2</v>
      </c>
      <c r="Y21" s="113">
        <v>0.56000000000000005</v>
      </c>
    </row>
    <row r="22" spans="1:25" x14ac:dyDescent="0.2">
      <c r="A22" s="12">
        <v>1979</v>
      </c>
      <c r="B22" s="107">
        <v>214.64500000000001</v>
      </c>
      <c r="C22" s="108">
        <v>31.283999999999999</v>
      </c>
      <c r="D22" s="108">
        <v>40.384</v>
      </c>
      <c r="E22" s="108">
        <v>9.1</v>
      </c>
      <c r="F22" s="108">
        <v>23.960999999999999</v>
      </c>
      <c r="G22" s="108">
        <v>14.860999999999999</v>
      </c>
      <c r="H22" s="108">
        <v>1.024</v>
      </c>
      <c r="I22" s="108">
        <v>15.71</v>
      </c>
      <c r="J22" s="110">
        <v>3.7869999999999999</v>
      </c>
      <c r="K22" s="110"/>
      <c r="L22" s="108">
        <v>5.0419999999999998</v>
      </c>
      <c r="M22" s="111">
        <v>6.8810000000000002</v>
      </c>
      <c r="N22" s="108"/>
      <c r="O22" s="108"/>
      <c r="P22" s="112">
        <v>1.7</v>
      </c>
      <c r="Q22" s="94"/>
      <c r="R22" s="94">
        <v>0.44</v>
      </c>
      <c r="S22" s="113">
        <v>11.125</v>
      </c>
      <c r="T22" s="108">
        <v>4.0510000000000002</v>
      </c>
      <c r="U22" s="114"/>
      <c r="V22" s="115">
        <v>7.0999999999999994E-2</v>
      </c>
      <c r="W22" s="95"/>
      <c r="X22" s="95">
        <v>1.83E-2</v>
      </c>
      <c r="Y22" s="113">
        <v>0.46</v>
      </c>
    </row>
    <row r="23" spans="1:25" x14ac:dyDescent="0.2">
      <c r="A23" s="13">
        <v>1980</v>
      </c>
      <c r="B23" s="118">
        <v>229.19399999999999</v>
      </c>
      <c r="C23" s="119">
        <v>35.840000000000003</v>
      </c>
      <c r="D23" s="119">
        <v>44.94</v>
      </c>
      <c r="E23" s="119">
        <v>9.1</v>
      </c>
      <c r="F23" s="119">
        <v>26.658999999999999</v>
      </c>
      <c r="G23" s="119">
        <v>17.558999999999997</v>
      </c>
      <c r="H23" s="119">
        <v>0.92900000000000005</v>
      </c>
      <c r="I23" s="119">
        <v>18.064</v>
      </c>
      <c r="J23" s="120">
        <v>3.448</v>
      </c>
      <c r="K23" s="120"/>
      <c r="L23" s="119">
        <v>6.2210000000000001</v>
      </c>
      <c r="M23" s="121">
        <v>8.3949999999999996</v>
      </c>
      <c r="N23" s="119"/>
      <c r="O23" s="119"/>
      <c r="P23" s="122">
        <v>2.06</v>
      </c>
      <c r="Q23" s="123"/>
      <c r="R23" s="123">
        <v>0.51</v>
      </c>
      <c r="S23" s="124">
        <v>12.25</v>
      </c>
      <c r="T23" s="119">
        <v>4.0810000000000004</v>
      </c>
      <c r="U23" s="125"/>
      <c r="V23" s="126">
        <v>8.5999999999999993E-2</v>
      </c>
      <c r="W23" s="127"/>
      <c r="X23" s="127">
        <v>2.1299999999999999E-2</v>
      </c>
      <c r="Y23" s="124">
        <v>0.51</v>
      </c>
    </row>
    <row r="24" spans="1:25" x14ac:dyDescent="0.2">
      <c r="A24" s="12">
        <v>1981</v>
      </c>
      <c r="B24" s="107">
        <v>262.57499999999999</v>
      </c>
      <c r="C24" s="108">
        <v>43.436999999999998</v>
      </c>
      <c r="D24" s="108">
        <v>53.637</v>
      </c>
      <c r="E24" s="108">
        <v>10.199999999999999</v>
      </c>
      <c r="F24" s="108">
        <v>30.28</v>
      </c>
      <c r="G24" s="108">
        <v>20.079999999999998</v>
      </c>
      <c r="H24" s="108">
        <v>0.46</v>
      </c>
      <c r="I24" s="108">
        <v>23.57</v>
      </c>
      <c r="J24" s="110">
        <v>2.952</v>
      </c>
      <c r="K24" s="110"/>
      <c r="L24" s="108">
        <v>8.6649999999999991</v>
      </c>
      <c r="M24" s="111">
        <v>11.952999999999999</v>
      </c>
      <c r="N24" s="108"/>
      <c r="O24" s="108"/>
      <c r="P24" s="112">
        <v>3.14</v>
      </c>
      <c r="Q24" s="94"/>
      <c r="R24" s="94">
        <v>0.6</v>
      </c>
      <c r="S24" s="113">
        <v>22.125</v>
      </c>
      <c r="T24" s="108">
        <v>3.802</v>
      </c>
      <c r="U24" s="114"/>
      <c r="V24" s="115">
        <v>0.13100000000000001</v>
      </c>
      <c r="W24" s="95"/>
      <c r="X24" s="95">
        <v>2.5000000000000001E-2</v>
      </c>
      <c r="Y24" s="113">
        <v>0.92</v>
      </c>
    </row>
    <row r="25" spans="1:25" x14ac:dyDescent="0.2">
      <c r="A25" s="12">
        <v>1982</v>
      </c>
      <c r="B25" s="107">
        <v>274.95699999999999</v>
      </c>
      <c r="C25" s="108">
        <v>41.557000000000002</v>
      </c>
      <c r="D25" s="108">
        <v>52.856999999999999</v>
      </c>
      <c r="E25" s="108">
        <v>11.3</v>
      </c>
      <c r="F25" s="108">
        <v>33.354999999999997</v>
      </c>
      <c r="G25" s="108">
        <v>22.055</v>
      </c>
      <c r="H25" s="108">
        <v>1.1890000000000001</v>
      </c>
      <c r="I25" s="108">
        <v>18.872</v>
      </c>
      <c r="J25" s="110">
        <v>3.512</v>
      </c>
      <c r="K25" s="110"/>
      <c r="L25" s="108">
        <v>6.2279999999999998</v>
      </c>
      <c r="M25" s="111">
        <v>9.1319999999999997</v>
      </c>
      <c r="N25" s="108"/>
      <c r="O25" s="108"/>
      <c r="P25" s="112">
        <v>2.54</v>
      </c>
      <c r="Q25" s="94"/>
      <c r="R25" s="94">
        <v>0.68</v>
      </c>
      <c r="S25" s="113">
        <v>25.625</v>
      </c>
      <c r="T25" s="108">
        <v>3.5990000000000002</v>
      </c>
      <c r="U25" s="114"/>
      <c r="V25" s="115">
        <v>0.106</v>
      </c>
      <c r="W25" s="95"/>
      <c r="X25" s="95">
        <v>2.8299999999999999E-2</v>
      </c>
      <c r="Y25" s="113">
        <v>1.07</v>
      </c>
    </row>
    <row r="26" spans="1:25" x14ac:dyDescent="0.2">
      <c r="A26" s="12">
        <v>1983</v>
      </c>
      <c r="B26" s="107">
        <v>354.05799999999999</v>
      </c>
      <c r="C26" s="108">
        <v>56.89</v>
      </c>
      <c r="D26" s="108">
        <v>70.69</v>
      </c>
      <c r="E26" s="108">
        <v>13.8</v>
      </c>
      <c r="F26" s="108">
        <v>40.710999999999999</v>
      </c>
      <c r="G26" s="108">
        <v>26.910999999999998</v>
      </c>
      <c r="H26" s="108">
        <v>0.23699999999999999</v>
      </c>
      <c r="I26" s="108">
        <v>31.138999999999999</v>
      </c>
      <c r="J26" s="110">
        <v>4.6289999999999996</v>
      </c>
      <c r="K26" s="110"/>
      <c r="L26" s="108">
        <v>10.935</v>
      </c>
      <c r="M26" s="111">
        <v>15.574999999999999</v>
      </c>
      <c r="N26" s="108"/>
      <c r="O26" s="108"/>
      <c r="P26" s="112">
        <v>1.83</v>
      </c>
      <c r="Q26" s="94"/>
      <c r="R26" s="94">
        <v>0.375</v>
      </c>
      <c r="S26" s="113">
        <v>20</v>
      </c>
      <c r="T26" s="108">
        <v>8.7590000000000003</v>
      </c>
      <c r="U26" s="117" t="s">
        <v>56</v>
      </c>
      <c r="V26" s="115">
        <v>0.153</v>
      </c>
      <c r="W26" s="95"/>
      <c r="X26" s="95">
        <v>3.1300000000000001E-2</v>
      </c>
      <c r="Y26" s="113">
        <v>1.67</v>
      </c>
    </row>
    <row r="27" spans="1:25" x14ac:dyDescent="0.2">
      <c r="A27" s="12">
        <v>1984</v>
      </c>
      <c r="B27" s="107">
        <v>424.815</v>
      </c>
      <c r="C27" s="108">
        <v>67.766000000000005</v>
      </c>
      <c r="D27" s="108">
        <v>83.366</v>
      </c>
      <c r="E27" s="108">
        <v>15.6</v>
      </c>
      <c r="F27" s="108">
        <v>48.456000000000003</v>
      </c>
      <c r="G27" s="108">
        <v>32.856000000000002</v>
      </c>
      <c r="H27" s="108">
        <v>-1.877</v>
      </c>
      <c r="I27" s="108">
        <v>38.185000000000002</v>
      </c>
      <c r="J27" s="110">
        <v>5.4790000000000001</v>
      </c>
      <c r="K27" s="110"/>
      <c r="L27" s="108">
        <v>11.935</v>
      </c>
      <c r="M27" s="111">
        <v>20.771000000000001</v>
      </c>
      <c r="N27" s="108"/>
      <c r="O27" s="108"/>
      <c r="P27" s="112">
        <v>2.14</v>
      </c>
      <c r="Q27" s="94"/>
      <c r="R27" s="94">
        <v>0.44</v>
      </c>
      <c r="S27" s="113">
        <v>18.875</v>
      </c>
      <c r="T27" s="108">
        <v>10.1</v>
      </c>
      <c r="U27" s="114"/>
      <c r="V27" s="115">
        <v>0.17799999999999999</v>
      </c>
      <c r="W27" s="95"/>
      <c r="X27" s="95">
        <v>3.6700000000000003E-2</v>
      </c>
      <c r="Y27" s="113">
        <v>1.57</v>
      </c>
    </row>
    <row r="28" spans="1:25" x14ac:dyDescent="0.2">
      <c r="A28" s="13">
        <v>1985</v>
      </c>
      <c r="B28" s="118">
        <v>478.86099999999999</v>
      </c>
      <c r="C28" s="119">
        <v>83.106999999999999</v>
      </c>
      <c r="D28" s="119">
        <v>101.307</v>
      </c>
      <c r="E28" s="119">
        <v>18.2</v>
      </c>
      <c r="F28" s="119">
        <v>54.636000000000003</v>
      </c>
      <c r="G28" s="119">
        <v>36.436000000000007</v>
      </c>
      <c r="H28" s="119">
        <v>-0.70799999999999996</v>
      </c>
      <c r="I28" s="119">
        <v>47.378999999999998</v>
      </c>
      <c r="J28" s="120">
        <v>6.3170000000000002</v>
      </c>
      <c r="K28" s="120"/>
      <c r="L28" s="119">
        <v>17.068000000000001</v>
      </c>
      <c r="M28" s="121">
        <v>23.994</v>
      </c>
      <c r="N28" s="119"/>
      <c r="O28" s="119"/>
      <c r="P28" s="122">
        <v>1.63</v>
      </c>
      <c r="Q28" s="123"/>
      <c r="R28" s="123">
        <v>0.33300000000000002</v>
      </c>
      <c r="S28" s="124">
        <v>33.25</v>
      </c>
      <c r="T28" s="119">
        <v>15.188000000000001</v>
      </c>
      <c r="U28" s="125"/>
      <c r="V28" s="126">
        <v>0.20399999999999999</v>
      </c>
      <c r="W28" s="127"/>
      <c r="X28" s="127">
        <v>4.1700000000000001E-2</v>
      </c>
      <c r="Y28" s="124">
        <v>2.77</v>
      </c>
    </row>
    <row r="29" spans="1:25" x14ac:dyDescent="0.2">
      <c r="A29" s="12">
        <v>1986</v>
      </c>
      <c r="B29" s="107">
        <v>585.68600000000004</v>
      </c>
      <c r="C29" s="108">
        <v>102.596</v>
      </c>
      <c r="D29" s="108">
        <v>127.196</v>
      </c>
      <c r="E29" s="108">
        <v>24.6</v>
      </c>
      <c r="F29" s="108">
        <v>68.921999999999997</v>
      </c>
      <c r="G29" s="108">
        <v>44.321999999999996</v>
      </c>
      <c r="H29" s="108">
        <v>-6.2460000000000004</v>
      </c>
      <c r="I29" s="108">
        <v>64.52</v>
      </c>
      <c r="J29" s="110">
        <v>6.3819999999999997</v>
      </c>
      <c r="K29" s="110"/>
      <c r="L29" s="108">
        <v>23.562999999999999</v>
      </c>
      <c r="M29" s="111">
        <v>34.575000000000003</v>
      </c>
      <c r="N29" s="108"/>
      <c r="O29" s="108"/>
      <c r="P29" s="112">
        <v>2.0299999999999998</v>
      </c>
      <c r="Q29" s="94"/>
      <c r="R29" s="94">
        <v>0.4</v>
      </c>
      <c r="S29" s="113">
        <v>25.75</v>
      </c>
      <c r="T29" s="108">
        <v>17.526</v>
      </c>
      <c r="U29" s="117" t="s">
        <v>55</v>
      </c>
      <c r="V29" s="115">
        <v>0.254</v>
      </c>
      <c r="W29" s="95"/>
      <c r="X29" s="95">
        <v>0.05</v>
      </c>
      <c r="Y29" s="113">
        <v>3.22</v>
      </c>
    </row>
    <row r="30" spans="1:25" x14ac:dyDescent="0.2">
      <c r="A30" s="12">
        <v>1987</v>
      </c>
      <c r="B30" s="107">
        <v>649.245</v>
      </c>
      <c r="C30" s="108">
        <f>+D30-E30</f>
        <v>113.35199999999999</v>
      </c>
      <c r="D30" s="108">
        <v>141.15199999999999</v>
      </c>
      <c r="E30" s="108">
        <v>27.8</v>
      </c>
      <c r="F30" s="108">
        <v>74.603999999999999</v>
      </c>
      <c r="G30" s="108">
        <v>46.804000000000002</v>
      </c>
      <c r="H30" s="108">
        <v>-3.964</v>
      </c>
      <c r="I30" s="108">
        <v>70.512</v>
      </c>
      <c r="J30" s="110">
        <v>6.4779999999999998</v>
      </c>
      <c r="K30" s="110"/>
      <c r="L30" s="108">
        <v>26.565000000000001</v>
      </c>
      <c r="M30" s="111">
        <v>37.469000000000001</v>
      </c>
      <c r="N30" s="108"/>
      <c r="O30" s="108"/>
      <c r="P30" s="112">
        <v>2.2200000000000002</v>
      </c>
      <c r="Q30" s="94"/>
      <c r="R30" s="94">
        <v>0.56000000000000005</v>
      </c>
      <c r="S30" s="113">
        <v>22</v>
      </c>
      <c r="T30" s="108">
        <v>17.533000000000001</v>
      </c>
      <c r="U30" s="114"/>
      <c r="V30" s="115">
        <v>0.27800000000000002</v>
      </c>
      <c r="W30" s="95"/>
      <c r="X30" s="95">
        <v>7.0000000000000007E-2</v>
      </c>
      <c r="Y30" s="113">
        <v>2.75</v>
      </c>
    </row>
    <row r="31" spans="1:25" x14ac:dyDescent="0.2">
      <c r="A31" s="12">
        <v>1988</v>
      </c>
      <c r="B31" s="107">
        <v>809.90899999999999</v>
      </c>
      <c r="C31" s="108">
        <f t="shared" ref="C31:C45" si="0">+D31-E31</f>
        <v>128.565</v>
      </c>
      <c r="D31" s="108">
        <v>163.16499999999999</v>
      </c>
      <c r="E31" s="108">
        <v>34.6</v>
      </c>
      <c r="F31" s="108">
        <v>96.171000000000006</v>
      </c>
      <c r="G31" s="108">
        <v>61.571000000000005</v>
      </c>
      <c r="H31" s="108">
        <v>-0.38</v>
      </c>
      <c r="I31" s="108">
        <v>67.373999999999995</v>
      </c>
      <c r="J31" s="110">
        <v>7.3639999999999999</v>
      </c>
      <c r="K31" s="110"/>
      <c r="L31" s="108">
        <v>22.280999999999999</v>
      </c>
      <c r="M31" s="111">
        <v>37.728999999999999</v>
      </c>
      <c r="N31" s="108">
        <f>'Cash Flow'!C31+'Cash Flow'!D31</f>
        <v>23.896999999999998</v>
      </c>
      <c r="O31" s="108">
        <f>I31+N31</f>
        <v>91.270999999999987</v>
      </c>
      <c r="P31" s="112">
        <v>2.17</v>
      </c>
      <c r="Q31" s="94">
        <v>2.3780554943844971</v>
      </c>
      <c r="R31" s="94">
        <v>0.64</v>
      </c>
      <c r="S31" s="113">
        <v>23.75</v>
      </c>
      <c r="T31" s="108">
        <v>18.164000000000001</v>
      </c>
      <c r="U31" s="114"/>
      <c r="V31" s="115">
        <v>0.27100000000000002</v>
      </c>
      <c r="W31" s="95">
        <v>0.29725693679806214</v>
      </c>
      <c r="X31" s="95">
        <v>0.08</v>
      </c>
      <c r="Y31" s="113">
        <v>2.97</v>
      </c>
    </row>
    <row r="32" spans="1:25" x14ac:dyDescent="0.2">
      <c r="A32" s="12">
        <v>1989</v>
      </c>
      <c r="B32" s="107">
        <v>991.61699999999996</v>
      </c>
      <c r="C32" s="108">
        <f t="shared" si="0"/>
        <v>165.39400000000001</v>
      </c>
      <c r="D32" s="108">
        <v>208.79400000000001</v>
      </c>
      <c r="E32" s="108">
        <v>43.4</v>
      </c>
      <c r="F32" s="108">
        <v>120.267</v>
      </c>
      <c r="G32" s="108">
        <v>76.86699999999999</v>
      </c>
      <c r="H32" s="108">
        <v>0.10100000000000001</v>
      </c>
      <c r="I32" s="108">
        <v>88.426000000000002</v>
      </c>
      <c r="J32" s="110">
        <v>12.73</v>
      </c>
      <c r="K32" s="110"/>
      <c r="L32" s="108">
        <v>29.792000000000002</v>
      </c>
      <c r="M32" s="111">
        <v>45.904000000000003</v>
      </c>
      <c r="N32" s="108">
        <f>'Cash Flow'!C32+'Cash Flow'!D32</f>
        <v>28.37</v>
      </c>
      <c r="O32" s="108">
        <f t="shared" ref="O32:O49" si="1">I32+N32</f>
        <v>116.79600000000001</v>
      </c>
      <c r="P32" s="112">
        <v>2.58</v>
      </c>
      <c r="Q32" s="94">
        <v>2.9894850948509482</v>
      </c>
      <c r="R32" s="94">
        <v>0.74</v>
      </c>
      <c r="S32" s="113">
        <v>30</v>
      </c>
      <c r="T32" s="108">
        <v>18.45</v>
      </c>
      <c r="U32" s="114"/>
      <c r="V32" s="115">
        <v>0.32300000000000001</v>
      </c>
      <c r="W32" s="95">
        <v>0.37368563685636852</v>
      </c>
      <c r="X32" s="95">
        <v>9.2499999999999999E-2</v>
      </c>
      <c r="Y32" s="113">
        <v>3.75</v>
      </c>
    </row>
    <row r="33" spans="1:25" x14ac:dyDescent="0.2">
      <c r="A33" s="15">
        <v>1990</v>
      </c>
      <c r="B33" s="118">
        <v>1088.624</v>
      </c>
      <c r="C33" s="119">
        <f t="shared" si="0"/>
        <v>179.14999999999998</v>
      </c>
      <c r="D33" s="119">
        <v>231.95</v>
      </c>
      <c r="E33" s="119">
        <v>52.8</v>
      </c>
      <c r="F33" s="119">
        <v>144.27600000000001</v>
      </c>
      <c r="G33" s="119">
        <v>91.476000000000013</v>
      </c>
      <c r="H33" s="119">
        <v>21.928000000000001</v>
      </c>
      <c r="I33" s="119">
        <v>86</v>
      </c>
      <c r="J33" s="120">
        <v>15.17</v>
      </c>
      <c r="K33" s="120"/>
      <c r="L33" s="119">
        <v>27.109000000000002</v>
      </c>
      <c r="M33" s="121">
        <v>43.7</v>
      </c>
      <c r="N33" s="119">
        <f>'Cash Flow'!C33+'Cash Flow'!D33</f>
        <v>34.4</v>
      </c>
      <c r="O33" s="119">
        <f t="shared" si="1"/>
        <v>120.4</v>
      </c>
      <c r="P33" s="122">
        <v>2.4300000000000002</v>
      </c>
      <c r="Q33" s="123">
        <v>3.5228366670232103</v>
      </c>
      <c r="R33" s="123">
        <v>0.84</v>
      </c>
      <c r="S33" s="124">
        <v>26.375</v>
      </c>
      <c r="T33" s="119">
        <v>18.698</v>
      </c>
      <c r="U33" s="125"/>
      <c r="V33" s="126">
        <v>0.29299999999999998</v>
      </c>
      <c r="W33" s="127">
        <v>0.44035458337790129</v>
      </c>
      <c r="X33" s="127">
        <v>0.105</v>
      </c>
      <c r="Y33" s="124">
        <v>3.3</v>
      </c>
    </row>
    <row r="34" spans="1:25" x14ac:dyDescent="0.2">
      <c r="A34" s="12">
        <v>1991</v>
      </c>
      <c r="B34" s="107">
        <v>1081.845</v>
      </c>
      <c r="C34" s="108">
        <f t="shared" si="0"/>
        <v>178.298</v>
      </c>
      <c r="D34" s="108">
        <v>232.398</v>
      </c>
      <c r="E34" s="108">
        <v>54.1</v>
      </c>
      <c r="F34" s="108">
        <v>154.285</v>
      </c>
      <c r="G34" s="108">
        <v>100.185</v>
      </c>
      <c r="H34" s="108">
        <v>1.9750000000000001</v>
      </c>
      <c r="I34" s="108">
        <v>76.099999999999994</v>
      </c>
      <c r="J34" s="110">
        <v>12.285</v>
      </c>
      <c r="K34" s="110"/>
      <c r="L34" s="108">
        <v>24.460999999999999</v>
      </c>
      <c r="M34" s="111">
        <v>39.392000000000003</v>
      </c>
      <c r="N34" s="108">
        <f>'Cash Flow'!C34+'Cash Flow'!D34</f>
        <v>36.4</v>
      </c>
      <c r="O34" s="108">
        <f t="shared" si="1"/>
        <v>112.5</v>
      </c>
      <c r="P34" s="112">
        <v>2.1800000000000002</v>
      </c>
      <c r="Q34" s="94">
        <v>4.6438806920709057</v>
      </c>
      <c r="R34" s="94">
        <v>0.86</v>
      </c>
      <c r="S34" s="113">
        <v>37.875</v>
      </c>
      <c r="T34" s="108">
        <v>18.841999999999999</v>
      </c>
      <c r="U34" s="114"/>
      <c r="V34" s="115">
        <v>0.27300000000000002</v>
      </c>
      <c r="W34" s="95">
        <v>0.58048508650886321</v>
      </c>
      <c r="X34" s="95">
        <v>0.1075</v>
      </c>
      <c r="Y34" s="113">
        <v>4.7300000000000004</v>
      </c>
    </row>
    <row r="35" spans="1:25" x14ac:dyDescent="0.2">
      <c r="A35" s="12">
        <v>1992</v>
      </c>
      <c r="B35" s="107">
        <v>1170.4860000000001</v>
      </c>
      <c r="C35" s="108">
        <f t="shared" si="0"/>
        <v>211.10700000000003</v>
      </c>
      <c r="D35" s="108">
        <v>266.60700000000003</v>
      </c>
      <c r="E35" s="108">
        <v>55.5</v>
      </c>
      <c r="F35" s="108">
        <v>157.81200000000001</v>
      </c>
      <c r="G35" s="108">
        <v>102.31200000000001</v>
      </c>
      <c r="H35" s="108">
        <v>3.2029999999999998</v>
      </c>
      <c r="I35" s="108">
        <v>105.6</v>
      </c>
      <c r="J35" s="110">
        <v>5.7939999999999996</v>
      </c>
      <c r="K35" s="110"/>
      <c r="L35" s="108">
        <v>37.328000000000003</v>
      </c>
      <c r="M35" s="111">
        <v>62.47</v>
      </c>
      <c r="N35" s="108">
        <f>'Cash Flow'!C35+'Cash Flow'!D35</f>
        <v>38.200000000000003</v>
      </c>
      <c r="O35" s="108">
        <f t="shared" si="1"/>
        <v>143.80000000000001</v>
      </c>
      <c r="P35" s="112">
        <v>1.63</v>
      </c>
      <c r="Q35" s="94">
        <v>2.5150723212668513</v>
      </c>
      <c r="R35" s="94">
        <v>0.46</v>
      </c>
      <c r="S35" s="113">
        <v>34</v>
      </c>
      <c r="T35" s="108">
        <v>38.646999999999998</v>
      </c>
      <c r="U35" s="117" t="s">
        <v>56</v>
      </c>
      <c r="V35" s="115">
        <v>0.40799999999999997</v>
      </c>
      <c r="W35" s="95">
        <v>0.62876808031671283</v>
      </c>
      <c r="X35" s="95">
        <v>0.115</v>
      </c>
      <c r="Y35" s="113">
        <v>8.5</v>
      </c>
    </row>
    <row r="36" spans="1:25" x14ac:dyDescent="0.2">
      <c r="A36" s="17">
        <v>1993</v>
      </c>
      <c r="B36" s="107">
        <v>1526.7</v>
      </c>
      <c r="C36" s="108">
        <f t="shared" si="0"/>
        <v>284.3</v>
      </c>
      <c r="D36" s="108">
        <v>349</v>
      </c>
      <c r="E36" s="108">
        <v>64.7</v>
      </c>
      <c r="F36" s="108">
        <v>192.4</v>
      </c>
      <c r="G36" s="108">
        <v>127.7</v>
      </c>
      <c r="H36" s="108">
        <v>5.4</v>
      </c>
      <c r="I36" s="108">
        <v>151.19999999999999</v>
      </c>
      <c r="J36" s="110">
        <v>10.199999999999999</v>
      </c>
      <c r="K36" s="110"/>
      <c r="L36" s="108">
        <v>55.1</v>
      </c>
      <c r="M36" s="111">
        <v>85.9</v>
      </c>
      <c r="N36" s="108">
        <f>'Cash Flow'!C36+'Cash Flow'!D36</f>
        <v>45.300000000000004</v>
      </c>
      <c r="O36" s="108">
        <f t="shared" si="1"/>
        <v>196.5</v>
      </c>
      <c r="P36" s="112">
        <v>2.09</v>
      </c>
      <c r="Q36" s="94">
        <v>3.5450121654501214</v>
      </c>
      <c r="R36" s="94">
        <v>0.54</v>
      </c>
      <c r="S36" s="113">
        <v>50</v>
      </c>
      <c r="T36" s="108">
        <v>41.1</v>
      </c>
      <c r="U36" s="114"/>
      <c r="V36" s="115">
        <v>0.52300000000000002</v>
      </c>
      <c r="W36" s="95">
        <v>0.88625304136253036</v>
      </c>
      <c r="X36" s="95">
        <v>0.13500000000000001</v>
      </c>
      <c r="Y36" s="113">
        <v>12.5</v>
      </c>
    </row>
    <row r="37" spans="1:25" x14ac:dyDescent="0.2">
      <c r="A37" s="12">
        <v>1994</v>
      </c>
      <c r="B37" s="107">
        <v>1858.1</v>
      </c>
      <c r="C37" s="108">
        <f t="shared" si="0"/>
        <v>350</v>
      </c>
      <c r="D37" s="108">
        <v>429</v>
      </c>
      <c r="E37" s="108">
        <v>79</v>
      </c>
      <c r="F37" s="108">
        <v>227</v>
      </c>
      <c r="G37" s="108">
        <v>148</v>
      </c>
      <c r="H37" s="108">
        <v>2.7</v>
      </c>
      <c r="I37" s="108">
        <v>199.3</v>
      </c>
      <c r="J37" s="110">
        <v>9.8000000000000007</v>
      </c>
      <c r="K37" s="110"/>
      <c r="L37" s="108">
        <v>74.099999999999994</v>
      </c>
      <c r="M37" s="111">
        <v>115.4</v>
      </c>
      <c r="N37" s="108">
        <f>'Cash Flow'!C37+'Cash Flow'!D37</f>
        <v>56.9</v>
      </c>
      <c r="O37" s="108">
        <f t="shared" si="1"/>
        <v>256.2</v>
      </c>
      <c r="P37" s="112">
        <v>2.78</v>
      </c>
      <c r="Q37" s="94">
        <v>4.1586538461538458</v>
      </c>
      <c r="R37" s="94">
        <v>0.62</v>
      </c>
      <c r="S37" s="113">
        <v>35</v>
      </c>
      <c r="T37" s="108">
        <v>41.6</v>
      </c>
      <c r="U37" s="114"/>
      <c r="V37" s="115">
        <v>0.69499999999999995</v>
      </c>
      <c r="W37" s="95">
        <v>1.0396634615384615</v>
      </c>
      <c r="X37" s="95">
        <v>0.155</v>
      </c>
      <c r="Y37" s="113">
        <v>8.75</v>
      </c>
    </row>
    <row r="38" spans="1:25" x14ac:dyDescent="0.2">
      <c r="A38" s="13">
        <v>1995</v>
      </c>
      <c r="B38" s="118">
        <v>2059.3000000000002</v>
      </c>
      <c r="C38" s="119">
        <f t="shared" si="0"/>
        <v>405.6</v>
      </c>
      <c r="D38" s="119">
        <v>491</v>
      </c>
      <c r="E38" s="119">
        <v>85.4</v>
      </c>
      <c r="F38" s="119">
        <v>254.8</v>
      </c>
      <c r="G38" s="119">
        <v>169.4</v>
      </c>
      <c r="H38" s="119">
        <v>4</v>
      </c>
      <c r="I38" s="119">
        <v>232.2</v>
      </c>
      <c r="J38" s="120">
        <v>11.5</v>
      </c>
      <c r="K38" s="120"/>
      <c r="L38" s="119">
        <v>85.8</v>
      </c>
      <c r="M38" s="121">
        <v>134.9</v>
      </c>
      <c r="N38" s="119">
        <f>'Cash Flow'!C38+'Cash Flow'!D38</f>
        <v>67.099999999999994</v>
      </c>
      <c r="O38" s="119">
        <f t="shared" si="1"/>
        <v>299.29999999999995</v>
      </c>
      <c r="P38" s="122">
        <v>1.59</v>
      </c>
      <c r="Q38" s="123">
        <v>2.3905882352941177</v>
      </c>
      <c r="R38" s="123">
        <v>0.38</v>
      </c>
      <c r="S38" s="124">
        <v>24.25</v>
      </c>
      <c r="T38" s="119">
        <v>85</v>
      </c>
      <c r="U38" s="129" t="s">
        <v>56</v>
      </c>
      <c r="V38" s="126">
        <v>0.79500000000000004</v>
      </c>
      <c r="W38" s="127">
        <v>1.1952941176470588</v>
      </c>
      <c r="X38" s="127">
        <v>0.19</v>
      </c>
      <c r="Y38" s="124">
        <v>12.13</v>
      </c>
    </row>
    <row r="39" spans="1:25" x14ac:dyDescent="0.2">
      <c r="A39" s="14">
        <v>1996</v>
      </c>
      <c r="B39" s="107">
        <v>2466.1999999999998</v>
      </c>
      <c r="C39" s="108">
        <f t="shared" si="0"/>
        <v>522</v>
      </c>
      <c r="D39" s="108">
        <v>623.5</v>
      </c>
      <c r="E39" s="108">
        <v>101.5</v>
      </c>
      <c r="F39" s="108">
        <v>303.5</v>
      </c>
      <c r="G39" s="108">
        <v>202</v>
      </c>
      <c r="H39" s="108">
        <v>13.7</v>
      </c>
      <c r="I39" s="108">
        <v>306.3</v>
      </c>
      <c r="J39" s="110">
        <v>30</v>
      </c>
      <c r="K39" s="110"/>
      <c r="L39" s="108">
        <v>106.9</v>
      </c>
      <c r="M39" s="111">
        <v>169.4</v>
      </c>
      <c r="N39" s="108">
        <f>'Cash Flow'!C39+'Cash Flow'!D39</f>
        <v>92.199999999999989</v>
      </c>
      <c r="O39" s="108">
        <f t="shared" si="1"/>
        <v>398.5</v>
      </c>
      <c r="P39" s="112">
        <v>1.85</v>
      </c>
      <c r="Q39" s="94">
        <v>2.5924199621911717</v>
      </c>
      <c r="R39" s="94">
        <v>0.46</v>
      </c>
      <c r="S39" s="113">
        <v>34.625</v>
      </c>
      <c r="T39" s="108">
        <v>91.844686999999993</v>
      </c>
      <c r="U39" s="114"/>
      <c r="V39" s="115">
        <v>0.92500000000000004</v>
      </c>
      <c r="W39" s="95">
        <v>1.2962099810955858</v>
      </c>
      <c r="X39" s="95">
        <v>0.23</v>
      </c>
      <c r="Y39" s="113">
        <v>17.309999999999999</v>
      </c>
    </row>
    <row r="40" spans="1:25" x14ac:dyDescent="0.2">
      <c r="A40" s="12">
        <v>1997</v>
      </c>
      <c r="B40" s="107">
        <v>2909.2</v>
      </c>
      <c r="C40" s="108">
        <f t="shared" si="0"/>
        <v>621.29999999999995</v>
      </c>
      <c r="D40" s="108">
        <v>737.8</v>
      </c>
      <c r="E40" s="108">
        <v>116.5</v>
      </c>
      <c r="F40" s="108">
        <v>358.8</v>
      </c>
      <c r="G40" s="108">
        <v>242.3</v>
      </c>
      <c r="H40" s="108">
        <v>13.9</v>
      </c>
      <c r="I40" s="108">
        <v>365.1</v>
      </c>
      <c r="J40" s="110">
        <v>31.8</v>
      </c>
      <c r="K40" s="110"/>
      <c r="L40" s="108">
        <v>125</v>
      </c>
      <c r="M40" s="111">
        <v>208.3</v>
      </c>
      <c r="N40" s="108">
        <f>'Cash Flow'!C40+'Cash Flow'!D40</f>
        <v>105.6</v>
      </c>
      <c r="O40" s="108">
        <f t="shared" si="1"/>
        <v>470.70000000000005</v>
      </c>
      <c r="P40" s="112">
        <v>2.16</v>
      </c>
      <c r="Q40" s="94">
        <v>2.9846323423663792</v>
      </c>
      <c r="R40" s="94">
        <v>0.54</v>
      </c>
      <c r="S40" s="113">
        <v>41.875</v>
      </c>
      <c r="T40" s="108">
        <v>96.594812000000005</v>
      </c>
      <c r="U40" s="114"/>
      <c r="V40" s="115">
        <v>1.08</v>
      </c>
      <c r="W40" s="95">
        <v>1.4923161711831896</v>
      </c>
      <c r="X40" s="95">
        <v>0.27</v>
      </c>
      <c r="Y40" s="113">
        <v>20.94</v>
      </c>
    </row>
    <row r="41" spans="1:25" x14ac:dyDescent="0.2">
      <c r="A41" s="12">
        <v>1998</v>
      </c>
      <c r="B41" s="107">
        <v>3370.4</v>
      </c>
      <c r="C41" s="108">
        <f t="shared" si="0"/>
        <v>737.2</v>
      </c>
      <c r="D41" s="108">
        <v>871.5</v>
      </c>
      <c r="E41" s="108">
        <v>134.30000000000001</v>
      </c>
      <c r="F41" s="108">
        <v>422.8</v>
      </c>
      <c r="G41" s="108">
        <v>288.5</v>
      </c>
      <c r="H41" s="108">
        <v>19.600000000000001</v>
      </c>
      <c r="I41" s="108">
        <v>429.1</v>
      </c>
      <c r="J41" s="110">
        <v>33.5</v>
      </c>
      <c r="K41" s="110"/>
      <c r="L41" s="108">
        <v>147.6</v>
      </c>
      <c r="M41" s="111">
        <v>248</v>
      </c>
      <c r="N41" s="108">
        <f>'Cash Flow'!C41+'Cash Flow'!D41</f>
        <v>127.89999999999999</v>
      </c>
      <c r="O41" s="108">
        <f t="shared" si="1"/>
        <v>557</v>
      </c>
      <c r="P41" s="112">
        <v>1.24</v>
      </c>
      <c r="Q41" s="94">
        <v>1.7685763039987423</v>
      </c>
      <c r="R41" s="94">
        <v>0.315</v>
      </c>
      <c r="S41" s="113">
        <v>22</v>
      </c>
      <c r="T41" s="108">
        <v>200.669883</v>
      </c>
      <c r="U41" s="117" t="s">
        <v>56</v>
      </c>
      <c r="V41" s="115">
        <v>1.24</v>
      </c>
      <c r="W41" s="95">
        <v>1.7685763039987423</v>
      </c>
      <c r="X41" s="95">
        <v>0.315</v>
      </c>
      <c r="Y41" s="113">
        <v>22</v>
      </c>
    </row>
    <row r="42" spans="1:25" x14ac:dyDescent="0.2">
      <c r="A42" s="12">
        <v>1999</v>
      </c>
      <c r="B42" s="107">
        <v>3779</v>
      </c>
      <c r="C42" s="108">
        <f t="shared" si="0"/>
        <v>869.59999999999991</v>
      </c>
      <c r="D42" s="108">
        <v>1020.3</v>
      </c>
      <c r="E42" s="108">
        <v>150.69999999999999</v>
      </c>
      <c r="F42" s="108">
        <v>491.2</v>
      </c>
      <c r="G42" s="108">
        <v>340.5</v>
      </c>
      <c r="H42" s="108">
        <v>26.6</v>
      </c>
      <c r="I42" s="108">
        <v>502.5</v>
      </c>
      <c r="J42" s="110">
        <v>39.9</v>
      </c>
      <c r="K42" s="110"/>
      <c r="L42" s="108">
        <v>172.1</v>
      </c>
      <c r="M42" s="111">
        <v>290.5</v>
      </c>
      <c r="N42" s="108">
        <f>'Cash Flow'!C42+'Cash Flow'!D42</f>
        <v>149.30000000000001</v>
      </c>
      <c r="O42" s="108">
        <f t="shared" si="1"/>
        <v>651.79999999999995</v>
      </c>
      <c r="P42" s="112">
        <v>1.45</v>
      </c>
      <c r="Q42" s="94">
        <v>1.8453452936658015</v>
      </c>
      <c r="R42" s="94">
        <v>0.36</v>
      </c>
      <c r="S42" s="113">
        <v>21.437999999999999</v>
      </c>
      <c r="T42" s="108">
        <v>200.93800400000001</v>
      </c>
      <c r="U42" s="114"/>
      <c r="V42" s="115">
        <v>1.45</v>
      </c>
      <c r="W42" s="95">
        <v>1.8453452936658015</v>
      </c>
      <c r="X42" s="95">
        <v>0.36</v>
      </c>
      <c r="Y42" s="113">
        <v>21.44</v>
      </c>
    </row>
    <row r="43" spans="1:25" x14ac:dyDescent="0.2">
      <c r="A43" s="13">
        <v>2000</v>
      </c>
      <c r="B43" s="118">
        <v>4276.3</v>
      </c>
      <c r="C43" s="119">
        <f t="shared" si="0"/>
        <v>912.3</v>
      </c>
      <c r="D43" s="119">
        <v>1087.8</v>
      </c>
      <c r="E43" s="119">
        <v>175.5</v>
      </c>
      <c r="F43" s="119">
        <f>175.5+391.6</f>
        <v>567.1</v>
      </c>
      <c r="G43" s="119">
        <v>391.6</v>
      </c>
      <c r="H43" s="119">
        <v>39.9</v>
      </c>
      <c r="I43" s="119">
        <v>480.8</v>
      </c>
      <c r="J43" s="120">
        <v>62.2</v>
      </c>
      <c r="K43" s="120"/>
      <c r="L43" s="119">
        <v>154.5</v>
      </c>
      <c r="M43" s="121">
        <v>264.10000000000002</v>
      </c>
      <c r="N43" s="119">
        <f>'Cash Flow'!C43+'Cash Flow'!D43</f>
        <v>173.29999999999998</v>
      </c>
      <c r="O43" s="119">
        <f t="shared" si="1"/>
        <v>654.1</v>
      </c>
      <c r="P43" s="122">
        <v>1.32</v>
      </c>
      <c r="Q43" s="123">
        <v>2.1997310369698289</v>
      </c>
      <c r="R43" s="123">
        <v>0.42</v>
      </c>
      <c r="S43" s="124">
        <v>18.928000000000001</v>
      </c>
      <c r="T43" s="119">
        <v>200.38813500000001</v>
      </c>
      <c r="U43" s="129"/>
      <c r="V43" s="126">
        <v>1.32</v>
      </c>
      <c r="W43" s="127">
        <v>2.1997310369698289</v>
      </c>
      <c r="X43" s="127">
        <v>0.42</v>
      </c>
      <c r="Y43" s="124">
        <v>18.940000000000001</v>
      </c>
    </row>
    <row r="44" spans="1:25" x14ac:dyDescent="0.2">
      <c r="A44" s="312">
        <v>2001</v>
      </c>
      <c r="B44" s="109">
        <v>4113.8</v>
      </c>
      <c r="C44" s="313">
        <f t="shared" si="0"/>
        <v>816.9</v>
      </c>
      <c r="D44" s="313">
        <v>992</v>
      </c>
      <c r="E44" s="313">
        <v>175.1</v>
      </c>
      <c r="F44" s="313">
        <f>175.1+415.2</f>
        <v>590.29999999999995</v>
      </c>
      <c r="G44" s="313">
        <v>415.2</v>
      </c>
      <c r="H44" s="313">
        <f>39.9+10.6</f>
        <v>50.5</v>
      </c>
      <c r="I44" s="313">
        <v>351.2</v>
      </c>
      <c r="J44" s="314">
        <f>58.8-4.9</f>
        <v>53.9</v>
      </c>
      <c r="K44" s="314"/>
      <c r="L44" s="313">
        <v>109.7</v>
      </c>
      <c r="M44" s="315">
        <v>187.6</v>
      </c>
      <c r="N44" s="313">
        <f>'Cash Flow'!C44+'Cash Flow'!D44</f>
        <v>196.6</v>
      </c>
      <c r="O44" s="313">
        <f t="shared" si="1"/>
        <v>547.79999999999995</v>
      </c>
      <c r="P44" s="316">
        <v>0.94</v>
      </c>
      <c r="Q44" s="317">
        <f>+'Cash Flow'!O44/T44</f>
        <v>2.6667014576828776</v>
      </c>
      <c r="R44" s="317">
        <v>0.48</v>
      </c>
      <c r="S44" s="318">
        <v>23</v>
      </c>
      <c r="T44" s="313">
        <v>200.43488500000001</v>
      </c>
      <c r="U44" s="319"/>
      <c r="V44" s="320">
        <v>0.94</v>
      </c>
      <c r="W44" s="321">
        <v>2.6667014576828776</v>
      </c>
      <c r="X44" s="321">
        <v>0.48</v>
      </c>
      <c r="Y44" s="318">
        <v>23</v>
      </c>
    </row>
    <row r="45" spans="1:25" x14ac:dyDescent="0.2">
      <c r="A45" s="76">
        <v>2002</v>
      </c>
      <c r="B45" s="107">
        <v>4271.8</v>
      </c>
      <c r="C45" s="108">
        <f t="shared" si="0"/>
        <v>821.7</v>
      </c>
      <c r="D45" s="108">
        <v>821.7</v>
      </c>
      <c r="E45" s="108">
        <v>0</v>
      </c>
      <c r="F45" s="108">
        <v>394.2</v>
      </c>
      <c r="G45" s="108">
        <v>394.2</v>
      </c>
      <c r="H45" s="108">
        <v>26.9</v>
      </c>
      <c r="I45" s="108">
        <v>400.6</v>
      </c>
      <c r="J45" s="110">
        <v>42.1</v>
      </c>
      <c r="K45" s="110">
        <v>5</v>
      </c>
      <c r="L45" s="108">
        <v>130.4</v>
      </c>
      <c r="M45" s="111">
        <v>233.1</v>
      </c>
      <c r="N45" s="108">
        <f>'Cash Flow'!C45+'Cash Flow'!D45</f>
        <v>164.6</v>
      </c>
      <c r="O45" s="108">
        <f t="shared" si="1"/>
        <v>565.20000000000005</v>
      </c>
      <c r="P45" s="112">
        <v>1.17</v>
      </c>
      <c r="Q45" s="94">
        <f>+'Cash Flow'!O45/T45</f>
        <v>2.2817817817817816</v>
      </c>
      <c r="R45" s="94">
        <v>0.5</v>
      </c>
      <c r="S45" s="113">
        <v>22.44</v>
      </c>
      <c r="T45" s="108">
        <v>199.8</v>
      </c>
      <c r="U45" s="114"/>
      <c r="V45" s="115">
        <v>1.17</v>
      </c>
      <c r="W45" s="95">
        <v>2.282</v>
      </c>
      <c r="X45" s="95">
        <v>0.5</v>
      </c>
      <c r="Y45" s="113">
        <v>22.44</v>
      </c>
    </row>
    <row r="46" spans="1:25" x14ac:dyDescent="0.2">
      <c r="A46" s="76">
        <v>2003</v>
      </c>
      <c r="B46" s="107">
        <v>4388.2</v>
      </c>
      <c r="C46" s="108">
        <v>771.7</v>
      </c>
      <c r="D46" s="108"/>
      <c r="E46" s="108"/>
      <c r="F46" s="108"/>
      <c r="G46" s="108">
        <v>409.9</v>
      </c>
      <c r="H46" s="108">
        <v>6.5</v>
      </c>
      <c r="I46" s="108">
        <v>355.3</v>
      </c>
      <c r="J46" s="110">
        <v>46.9</v>
      </c>
      <c r="K46" s="110">
        <v>6.7</v>
      </c>
      <c r="L46" s="108">
        <v>109.2</v>
      </c>
      <c r="M46" s="111">
        <v>205.9</v>
      </c>
      <c r="N46" s="108">
        <f>'Cash Flow'!C46+'Cash Flow'!D46</f>
        <v>167</v>
      </c>
      <c r="O46" s="108">
        <f t="shared" si="1"/>
        <v>522.29999999999995</v>
      </c>
      <c r="P46" s="112">
        <v>1.05</v>
      </c>
      <c r="Q46" s="94">
        <f>+'Cash Flow'!O46/T46</f>
        <v>2.0065989847715735</v>
      </c>
      <c r="R46" s="94">
        <v>0.54</v>
      </c>
      <c r="S46" s="113">
        <v>21.63</v>
      </c>
      <c r="T46" s="108">
        <v>197</v>
      </c>
      <c r="U46" s="114"/>
      <c r="V46" s="115">
        <v>1.05</v>
      </c>
      <c r="W46" s="95">
        <v>2.0065989847715735</v>
      </c>
      <c r="X46" s="95">
        <v>0.54</v>
      </c>
      <c r="Y46" s="113">
        <v>21.63</v>
      </c>
    </row>
    <row r="47" spans="1:25" x14ac:dyDescent="0.2">
      <c r="A47" s="76">
        <v>2004</v>
      </c>
      <c r="B47" s="107">
        <v>5085.5</v>
      </c>
      <c r="C47" s="108">
        <v>915.8</v>
      </c>
      <c r="D47" s="108"/>
      <c r="E47" s="108"/>
      <c r="F47" s="108"/>
      <c r="G47" s="108">
        <v>460.2</v>
      </c>
      <c r="H47" s="108">
        <v>-6.1</v>
      </c>
      <c r="I47" s="108">
        <v>461.7</v>
      </c>
      <c r="J47" s="110">
        <v>45.9</v>
      </c>
      <c r="K47" s="110">
        <v>6.8</v>
      </c>
      <c r="L47" s="108">
        <v>137.19999999999999</v>
      </c>
      <c r="M47" s="111">
        <v>285.39999999999998</v>
      </c>
      <c r="N47" s="108">
        <f>'Cash Flow'!C47+'Cash Flow'!D47</f>
        <v>177.2</v>
      </c>
      <c r="O47" s="108">
        <f t="shared" si="1"/>
        <v>638.9</v>
      </c>
      <c r="P47" s="112">
        <v>1.45</v>
      </c>
      <c r="Q47" s="94">
        <f>+'Cash Flow'!O47/T47</f>
        <v>1.7394616556627727</v>
      </c>
      <c r="R47" s="94">
        <v>0.57999999999999996</v>
      </c>
      <c r="S47" s="113">
        <v>28.43</v>
      </c>
      <c r="T47" s="108">
        <v>196.9</v>
      </c>
      <c r="U47" s="114"/>
      <c r="V47" s="115">
        <v>1.45</v>
      </c>
      <c r="W47" s="95">
        <f>+Q47</f>
        <v>1.7394616556627727</v>
      </c>
      <c r="X47" s="95">
        <v>0.57999999999999996</v>
      </c>
      <c r="Y47" s="113">
        <v>28.43</v>
      </c>
    </row>
    <row r="48" spans="1:25" x14ac:dyDescent="0.2">
      <c r="A48" s="13">
        <v>2005</v>
      </c>
      <c r="B48" s="118">
        <f>5299.3</f>
        <v>5299.3</v>
      </c>
      <c r="C48" s="119">
        <v>912.8</v>
      </c>
      <c r="D48" s="119"/>
      <c r="E48" s="119"/>
      <c r="F48" s="119"/>
      <c r="G48" s="119">
        <v>468.8</v>
      </c>
      <c r="H48" s="119">
        <f>3+44+0.8</f>
        <v>47.8</v>
      </c>
      <c r="I48" s="119">
        <f>C48-G48-H48</f>
        <v>396.19999999999993</v>
      </c>
      <c r="J48" s="120">
        <v>46.7</v>
      </c>
      <c r="K48" s="120">
        <v>6.7</v>
      </c>
      <c r="L48" s="119">
        <v>104.9</v>
      </c>
      <c r="M48" s="121">
        <f>I48-J48+K48-L48</f>
        <v>251.29999999999993</v>
      </c>
      <c r="N48" s="119">
        <f>'Cash Flow'!C48+'Cash Flow'!D48</f>
        <v>171.10000000000002</v>
      </c>
      <c r="O48" s="119">
        <f t="shared" si="1"/>
        <v>567.29999999999995</v>
      </c>
      <c r="P48" s="122">
        <f>M48/T48</f>
        <v>1.2982048301691849</v>
      </c>
      <c r="Q48" s="94">
        <f>+'Cash Flow'!O48/T48</f>
        <v>2.3158982306599514</v>
      </c>
      <c r="R48" s="123">
        <v>0.63</v>
      </c>
      <c r="S48" s="124">
        <v>22.96</v>
      </c>
      <c r="T48" s="119">
        <v>193.57499999999999</v>
      </c>
      <c r="U48" s="129"/>
      <c r="V48" s="126">
        <f>P48</f>
        <v>1.2982048301691849</v>
      </c>
      <c r="W48" s="127">
        <f>+Q48</f>
        <v>2.3158982306599514</v>
      </c>
      <c r="X48" s="127">
        <v>0.63</v>
      </c>
      <c r="Y48" s="124">
        <f>S48</f>
        <v>22.96</v>
      </c>
    </row>
    <row r="49" spans="1:25" ht="13.5" thickBot="1" x14ac:dyDescent="0.25">
      <c r="A49" s="301">
        <v>2006</v>
      </c>
      <c r="B49" s="302">
        <v>5505.4</v>
      </c>
      <c r="C49" s="303">
        <v>998.4</v>
      </c>
      <c r="D49" s="303"/>
      <c r="E49" s="303"/>
      <c r="F49" s="303"/>
      <c r="G49" s="303">
        <v>489.5</v>
      </c>
      <c r="H49" s="303">
        <f>18.8+8.1</f>
        <v>26.9</v>
      </c>
      <c r="I49" s="303">
        <f>C49-G49-H49</f>
        <v>482</v>
      </c>
      <c r="J49" s="304">
        <v>56.2</v>
      </c>
      <c r="K49" s="304">
        <v>9</v>
      </c>
      <c r="L49" s="303">
        <v>134.5</v>
      </c>
      <c r="M49" s="305">
        <f>I49-J49+K49-L49</f>
        <v>300.3</v>
      </c>
      <c r="N49" s="303">
        <f>'Cash Flow'!C49+'Cash Flow'!D49</f>
        <v>175.4</v>
      </c>
      <c r="O49" s="303">
        <f t="shared" si="1"/>
        <v>657.4</v>
      </c>
      <c r="P49" s="306">
        <f>M49/T49</f>
        <v>1.6076017130620985</v>
      </c>
      <c r="Q49" s="307">
        <f>+'Cash Flow'!O49/T49</f>
        <v>2.5637044967880085</v>
      </c>
      <c r="R49" s="307">
        <v>0.67</v>
      </c>
      <c r="S49" s="308">
        <v>23.9</v>
      </c>
      <c r="T49" s="303">
        <v>186.8</v>
      </c>
      <c r="U49" s="309"/>
      <c r="V49" s="310">
        <f>+P49</f>
        <v>1.6076017130620985</v>
      </c>
      <c r="W49" s="311">
        <f>+Q49</f>
        <v>2.5637044967880085</v>
      </c>
      <c r="X49" s="311">
        <f>+R49</f>
        <v>0.67</v>
      </c>
      <c r="Y49" s="308">
        <f>+S49</f>
        <v>23.9</v>
      </c>
    </row>
    <row r="50" spans="1:25" ht="13.5" thickTop="1" x14ac:dyDescent="0.2">
      <c r="A50" s="240"/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241"/>
      <c r="Q50" s="241"/>
      <c r="R50" s="241"/>
      <c r="S50" s="241"/>
      <c r="T50" s="110"/>
      <c r="U50" s="242"/>
      <c r="V50" s="243"/>
      <c r="W50" s="243"/>
      <c r="X50" s="243"/>
      <c r="Y50" s="241"/>
    </row>
    <row r="51" spans="1:25" ht="18.75" x14ac:dyDescent="0.25">
      <c r="A51" s="426" t="s">
        <v>228</v>
      </c>
      <c r="B51" s="19"/>
      <c r="C51" s="19"/>
      <c r="D51" s="19"/>
      <c r="E51" s="19"/>
      <c r="F51" s="19"/>
      <c r="G51" s="19"/>
      <c r="H51" s="19"/>
      <c r="I51" s="19"/>
      <c r="J51" s="33"/>
      <c r="K51" s="33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</row>
    <row r="52" spans="1:25" ht="14.25" x14ac:dyDescent="0.2">
      <c r="A52" s="32" t="s">
        <v>23</v>
      </c>
      <c r="B52" s="34"/>
      <c r="C52" s="34"/>
      <c r="D52" s="34"/>
      <c r="E52" s="34"/>
      <c r="F52" s="34"/>
      <c r="G52" s="34"/>
      <c r="H52" s="34"/>
      <c r="I52" s="34"/>
      <c r="J52" s="35"/>
      <c r="K52" s="35"/>
      <c r="L52" s="34"/>
      <c r="M52" s="34"/>
      <c r="N52" s="34"/>
      <c r="O52" s="34"/>
      <c r="P52" s="34"/>
      <c r="Q52" s="34"/>
      <c r="R52" s="34"/>
      <c r="S52" s="31"/>
      <c r="T52" s="34"/>
      <c r="U52" s="34"/>
      <c r="V52" s="34"/>
      <c r="W52" s="34"/>
      <c r="X52" s="34"/>
      <c r="Y52" s="34"/>
    </row>
    <row r="53" spans="1:25" ht="14.25" x14ac:dyDescent="0.2">
      <c r="A53" s="36" t="s">
        <v>187</v>
      </c>
      <c r="B53" s="34"/>
      <c r="C53" s="34"/>
      <c r="D53" s="34"/>
      <c r="E53" s="34"/>
      <c r="F53" s="34"/>
      <c r="G53" s="34"/>
      <c r="H53" s="34"/>
      <c r="I53" s="34"/>
      <c r="J53" s="35"/>
      <c r="K53" s="35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</row>
    <row r="54" spans="1:25" x14ac:dyDescent="0.2">
      <c r="A54" s="37" t="s">
        <v>24</v>
      </c>
      <c r="B54" s="34"/>
      <c r="C54" s="34"/>
      <c r="D54" s="34"/>
      <c r="E54" s="34"/>
      <c r="F54" s="34"/>
      <c r="G54" s="34"/>
      <c r="H54" s="34"/>
      <c r="I54" s="34"/>
      <c r="J54" s="35"/>
      <c r="K54" s="35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</row>
    <row r="55" spans="1:25" ht="14.25" x14ac:dyDescent="0.2">
      <c r="A55" s="36" t="s">
        <v>25</v>
      </c>
      <c r="B55" s="34"/>
      <c r="C55" s="34"/>
      <c r="D55" s="34"/>
      <c r="E55" s="34"/>
      <c r="F55" s="34"/>
      <c r="G55" s="34"/>
      <c r="H55" s="34"/>
      <c r="I55" s="34"/>
      <c r="J55" s="35"/>
      <c r="K55" s="35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</row>
    <row r="56" spans="1:25" ht="14.25" x14ac:dyDescent="0.2">
      <c r="A56" s="36" t="s">
        <v>179</v>
      </c>
      <c r="B56" s="34"/>
      <c r="C56" s="34"/>
      <c r="D56" s="34"/>
      <c r="E56" s="34"/>
      <c r="F56" s="34"/>
      <c r="G56" s="34"/>
      <c r="H56" s="34"/>
      <c r="I56" s="34"/>
      <c r="J56" s="35"/>
      <c r="K56" s="35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</row>
    <row r="57" spans="1:25" ht="14.25" x14ac:dyDescent="0.2">
      <c r="A57" s="36" t="s">
        <v>153</v>
      </c>
      <c r="B57" s="86"/>
      <c r="C57" s="86"/>
      <c r="D57" s="86"/>
      <c r="E57" s="86"/>
      <c r="F57" s="86"/>
      <c r="G57" s="86"/>
      <c r="H57" s="86"/>
      <c r="I57" s="86"/>
      <c r="J57" s="87"/>
      <c r="K57" s="87"/>
      <c r="L57" s="86"/>
      <c r="M57" s="86"/>
      <c r="N57" s="86"/>
      <c r="O57" s="86"/>
      <c r="P57" s="86"/>
      <c r="Q57" s="86"/>
      <c r="R57" s="86"/>
      <c r="S57" s="86"/>
      <c r="T57" s="88"/>
      <c r="U57" s="88"/>
      <c r="V57" s="88"/>
      <c r="W57" s="88"/>
      <c r="X57" s="88"/>
      <c r="Y57" s="86"/>
    </row>
    <row r="58" spans="1:25" ht="14.25" customHeight="1" x14ac:dyDescent="0.2">
      <c r="A58" s="472" t="s">
        <v>216</v>
      </c>
      <c r="B58" s="472"/>
      <c r="C58" s="472"/>
      <c r="D58" s="472"/>
      <c r="E58" s="472"/>
      <c r="F58" s="472"/>
      <c r="G58" s="472"/>
      <c r="H58" s="472"/>
      <c r="I58" s="472"/>
      <c r="J58" s="472"/>
      <c r="K58" s="472"/>
      <c r="L58" s="472"/>
      <c r="M58" s="472"/>
      <c r="N58" s="472"/>
      <c r="O58" s="472"/>
      <c r="P58" s="472"/>
      <c r="Q58" s="472"/>
      <c r="R58" s="472"/>
      <c r="S58" s="472"/>
      <c r="T58" s="472"/>
      <c r="U58" s="472"/>
      <c r="V58" s="472"/>
      <c r="W58" s="472"/>
      <c r="X58" s="472"/>
      <c r="Y58" s="19"/>
    </row>
    <row r="59" spans="1:25" x14ac:dyDescent="0.2">
      <c r="A59" s="19"/>
      <c r="B59" s="19"/>
      <c r="C59" s="19"/>
      <c r="D59" s="19"/>
      <c r="E59" s="19"/>
      <c r="F59" s="19"/>
      <c r="G59" s="19"/>
      <c r="H59" s="19"/>
      <c r="I59" s="19"/>
      <c r="J59" s="33"/>
      <c r="K59" s="33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</row>
    <row r="60" spans="1:25" x14ac:dyDescent="0.2">
      <c r="A60" s="19"/>
      <c r="B60" s="19"/>
      <c r="C60" s="19"/>
      <c r="D60" s="19"/>
      <c r="E60" s="19"/>
      <c r="F60" s="19"/>
      <c r="G60" s="19"/>
      <c r="H60" s="19"/>
      <c r="I60" s="19"/>
      <c r="J60" s="33"/>
      <c r="K60" s="33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</row>
    <row r="61" spans="1:25" x14ac:dyDescent="0.2">
      <c r="A61" s="19"/>
      <c r="B61" s="19"/>
      <c r="C61" s="19"/>
      <c r="D61" s="19"/>
      <c r="E61" s="19"/>
      <c r="F61" s="19"/>
      <c r="G61" s="19"/>
      <c r="H61" s="19"/>
      <c r="I61" s="19"/>
      <c r="J61" s="33"/>
      <c r="K61" s="33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</row>
    <row r="62" spans="1:25" x14ac:dyDescent="0.2">
      <c r="A62" s="19"/>
      <c r="B62" s="19"/>
      <c r="C62" s="19"/>
      <c r="D62" s="19"/>
      <c r="E62" s="19"/>
      <c r="F62" s="19"/>
      <c r="G62" s="19"/>
      <c r="H62" s="19"/>
      <c r="I62" s="19"/>
      <c r="J62" s="33"/>
      <c r="K62" s="33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</row>
    <row r="63" spans="1:25" x14ac:dyDescent="0.2">
      <c r="A63" s="19"/>
      <c r="B63" s="19"/>
      <c r="C63" s="19"/>
      <c r="D63" s="19"/>
      <c r="E63" s="19"/>
      <c r="F63" s="19"/>
      <c r="G63" s="19"/>
      <c r="H63" s="19"/>
      <c r="I63" s="19"/>
      <c r="J63" s="33"/>
      <c r="K63" s="33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</row>
    <row r="64" spans="1:25" x14ac:dyDescent="0.2">
      <c r="A64" s="19"/>
      <c r="B64" s="19"/>
      <c r="C64" s="19"/>
      <c r="D64" s="19"/>
      <c r="E64" s="19"/>
      <c r="F64" s="19"/>
      <c r="G64" s="19"/>
      <c r="H64" s="19"/>
      <c r="I64" s="19"/>
      <c r="J64" s="33"/>
      <c r="K64" s="33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</row>
    <row r="65" spans="1:25" x14ac:dyDescent="0.2">
      <c r="A65" s="19"/>
      <c r="B65" s="19"/>
      <c r="C65" s="19"/>
      <c r="D65" s="19"/>
      <c r="E65" s="19"/>
      <c r="F65" s="19"/>
      <c r="G65" s="19"/>
      <c r="H65" s="19"/>
      <c r="I65" s="19"/>
      <c r="J65" s="33"/>
      <c r="K65" s="33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</row>
    <row r="66" spans="1:25" x14ac:dyDescent="0.2">
      <c r="A66" s="19"/>
      <c r="B66" s="19"/>
      <c r="C66" s="19"/>
      <c r="D66" s="19"/>
      <c r="E66" s="19"/>
      <c r="F66" s="19"/>
      <c r="G66" s="19"/>
      <c r="H66" s="19"/>
      <c r="I66" s="19"/>
      <c r="J66" s="33"/>
      <c r="K66" s="33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</row>
    <row r="67" spans="1:25" x14ac:dyDescent="0.2">
      <c r="A67" s="19"/>
      <c r="B67" s="19"/>
      <c r="C67" s="19"/>
      <c r="D67" s="19"/>
      <c r="E67" s="19"/>
      <c r="F67" s="19"/>
      <c r="G67" s="19"/>
      <c r="H67" s="19"/>
      <c r="I67" s="19"/>
      <c r="J67" s="33"/>
      <c r="K67" s="33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</row>
    <row r="68" spans="1:25" x14ac:dyDescent="0.2">
      <c r="A68" s="19"/>
      <c r="B68" s="19"/>
      <c r="C68" s="19"/>
      <c r="D68" s="19"/>
      <c r="E68" s="19"/>
      <c r="F68" s="19"/>
      <c r="G68" s="19"/>
      <c r="H68" s="19"/>
      <c r="I68" s="19"/>
      <c r="J68" s="33"/>
      <c r="K68" s="33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</row>
    <row r="69" spans="1:25" x14ac:dyDescent="0.2">
      <c r="A69" s="19"/>
      <c r="B69" s="19"/>
      <c r="C69" s="19"/>
      <c r="D69" s="19"/>
      <c r="E69" s="19"/>
      <c r="F69" s="19"/>
      <c r="G69" s="19"/>
      <c r="H69" s="19"/>
      <c r="I69" s="19"/>
      <c r="J69" s="33"/>
      <c r="K69" s="33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</row>
    <row r="70" spans="1:25" x14ac:dyDescent="0.2">
      <c r="A70" s="19"/>
      <c r="B70" s="19"/>
      <c r="C70" s="19"/>
      <c r="D70" s="19"/>
      <c r="E70" s="19"/>
      <c r="F70" s="19"/>
      <c r="G70" s="19"/>
      <c r="H70" s="19"/>
      <c r="I70" s="19"/>
      <c r="J70" s="33"/>
      <c r="K70" s="33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</row>
    <row r="71" spans="1:25" x14ac:dyDescent="0.2">
      <c r="A71" s="19"/>
      <c r="B71" s="19"/>
      <c r="C71" s="19"/>
      <c r="D71" s="19"/>
      <c r="E71" s="19"/>
      <c r="F71" s="19"/>
      <c r="G71" s="19"/>
      <c r="H71" s="19"/>
      <c r="I71" s="19"/>
      <c r="J71" s="33"/>
      <c r="K71" s="33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</row>
    <row r="72" spans="1:25" x14ac:dyDescent="0.2">
      <c r="A72" s="19"/>
      <c r="B72" s="19"/>
      <c r="C72" s="19"/>
      <c r="D72" s="19"/>
      <c r="E72" s="19"/>
      <c r="F72" s="19"/>
      <c r="G72" s="19"/>
      <c r="H72" s="19"/>
      <c r="I72" s="19"/>
      <c r="J72" s="33"/>
      <c r="K72" s="33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</row>
    <row r="73" spans="1:25" x14ac:dyDescent="0.2">
      <c r="A73" s="19"/>
      <c r="B73" s="19"/>
      <c r="C73" s="19"/>
      <c r="D73" s="19"/>
      <c r="E73" s="19"/>
      <c r="F73" s="19"/>
      <c r="G73" s="19"/>
      <c r="H73" s="19"/>
      <c r="I73" s="19"/>
      <c r="J73" s="33"/>
      <c r="K73" s="33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</row>
    <row r="74" spans="1:25" x14ac:dyDescent="0.2">
      <c r="A74" s="19"/>
      <c r="B74" s="19"/>
      <c r="C74" s="19"/>
      <c r="D74" s="19"/>
      <c r="E74" s="19"/>
      <c r="F74" s="19"/>
      <c r="G74" s="19"/>
      <c r="H74" s="19"/>
      <c r="I74" s="19"/>
      <c r="J74" s="33"/>
      <c r="K74" s="33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</row>
    <row r="75" spans="1:25" x14ac:dyDescent="0.2">
      <c r="A75" s="19"/>
      <c r="B75" s="19"/>
      <c r="C75" s="19"/>
      <c r="D75" s="19"/>
      <c r="E75" s="19"/>
      <c r="F75" s="19"/>
      <c r="G75" s="19"/>
      <c r="H75" s="19"/>
      <c r="I75" s="19"/>
      <c r="J75" s="33"/>
      <c r="K75" s="33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</row>
    <row r="76" spans="1:25" x14ac:dyDescent="0.2">
      <c r="A76" s="19"/>
      <c r="B76" s="19"/>
      <c r="C76" s="19"/>
      <c r="D76" s="19"/>
      <c r="E76" s="19"/>
      <c r="F76" s="19"/>
      <c r="G76" s="19"/>
      <c r="H76" s="19"/>
      <c r="I76" s="19"/>
      <c r="J76" s="33"/>
      <c r="K76" s="33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</row>
    <row r="77" spans="1:25" x14ac:dyDescent="0.2">
      <c r="A77" s="19"/>
      <c r="B77" s="19"/>
      <c r="C77" s="19"/>
      <c r="D77" s="19"/>
      <c r="E77" s="19"/>
      <c r="F77" s="19"/>
      <c r="G77" s="19"/>
      <c r="H77" s="19"/>
      <c r="I77" s="19"/>
      <c r="J77" s="33"/>
      <c r="K77" s="33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</row>
    <row r="78" spans="1:25" x14ac:dyDescent="0.2">
      <c r="A78" s="19"/>
      <c r="B78" s="19"/>
      <c r="C78" s="19"/>
      <c r="D78" s="19"/>
      <c r="E78" s="19"/>
      <c r="F78" s="19"/>
      <c r="G78" s="19"/>
      <c r="H78" s="19"/>
      <c r="I78" s="19"/>
      <c r="J78" s="33"/>
      <c r="K78" s="33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</row>
    <row r="79" spans="1:25" x14ac:dyDescent="0.2">
      <c r="A79" s="19"/>
      <c r="B79" s="19"/>
      <c r="C79" s="19"/>
      <c r="D79" s="19"/>
      <c r="E79" s="19"/>
      <c r="F79" s="19"/>
      <c r="G79" s="19"/>
      <c r="H79" s="19"/>
      <c r="I79" s="19"/>
      <c r="J79" s="33"/>
      <c r="K79" s="33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</row>
    <row r="80" spans="1:25" x14ac:dyDescent="0.2">
      <c r="A80" s="19"/>
      <c r="B80" s="19"/>
      <c r="C80" s="19"/>
      <c r="D80" s="19"/>
      <c r="E80" s="19"/>
      <c r="F80" s="19"/>
      <c r="G80" s="19"/>
      <c r="H80" s="19"/>
      <c r="I80" s="19"/>
      <c r="J80" s="33"/>
      <c r="K80" s="33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</row>
    <row r="81" spans="1:25" x14ac:dyDescent="0.2">
      <c r="A81" s="19"/>
      <c r="B81" s="19"/>
      <c r="C81" s="19"/>
      <c r="D81" s="19"/>
      <c r="E81" s="19"/>
      <c r="F81" s="19"/>
      <c r="G81" s="19"/>
      <c r="H81" s="19"/>
      <c r="I81" s="19"/>
      <c r="J81" s="33"/>
      <c r="K81" s="33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</row>
    <row r="82" spans="1:25" x14ac:dyDescent="0.2">
      <c r="A82" s="19"/>
      <c r="B82" s="19"/>
      <c r="C82" s="19"/>
      <c r="D82" s="19"/>
      <c r="E82" s="19"/>
      <c r="F82" s="19"/>
      <c r="G82" s="19"/>
      <c r="H82" s="19"/>
      <c r="I82" s="19"/>
      <c r="J82" s="33"/>
      <c r="K82" s="33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</row>
    <row r="83" spans="1:25" x14ac:dyDescent="0.2">
      <c r="A83" s="19"/>
      <c r="B83" s="19"/>
      <c r="C83" s="19"/>
      <c r="D83" s="19"/>
      <c r="E83" s="19"/>
      <c r="F83" s="19"/>
      <c r="G83" s="19"/>
      <c r="H83" s="19"/>
      <c r="I83" s="19"/>
      <c r="J83" s="33"/>
      <c r="K83" s="33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</row>
    <row r="84" spans="1:25" x14ac:dyDescent="0.2">
      <c r="A84" s="19"/>
      <c r="B84" s="19"/>
      <c r="C84" s="19"/>
      <c r="D84" s="19"/>
      <c r="E84" s="19"/>
      <c r="F84" s="19"/>
      <c r="G84" s="19"/>
      <c r="H84" s="19"/>
      <c r="I84" s="19"/>
      <c r="J84" s="33"/>
      <c r="K84" s="33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</row>
    <row r="85" spans="1:25" x14ac:dyDescent="0.2">
      <c r="A85" s="19"/>
      <c r="B85" s="19"/>
      <c r="C85" s="19"/>
      <c r="D85" s="19"/>
      <c r="E85" s="19"/>
      <c r="F85" s="19"/>
      <c r="G85" s="19"/>
      <c r="H85" s="19"/>
      <c r="I85" s="19"/>
      <c r="J85" s="33"/>
      <c r="K85" s="33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</row>
    <row r="86" spans="1:25" x14ac:dyDescent="0.2">
      <c r="A86" s="19"/>
      <c r="B86" s="19"/>
      <c r="C86" s="19"/>
      <c r="D86" s="19"/>
      <c r="E86" s="19"/>
      <c r="F86" s="19"/>
      <c r="G86" s="19"/>
      <c r="H86" s="19"/>
      <c r="I86" s="19"/>
      <c r="J86" s="33"/>
      <c r="K86" s="33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</row>
    <row r="87" spans="1:25" x14ac:dyDescent="0.2">
      <c r="A87" s="19"/>
      <c r="B87" s="19"/>
      <c r="C87" s="19"/>
      <c r="D87" s="19"/>
      <c r="E87" s="19"/>
      <c r="F87" s="19"/>
      <c r="G87" s="19"/>
      <c r="H87" s="19"/>
      <c r="I87" s="19"/>
      <c r="J87" s="33"/>
      <c r="K87" s="33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</row>
    <row r="88" spans="1:25" x14ac:dyDescent="0.2">
      <c r="A88" s="19"/>
      <c r="B88" s="19"/>
      <c r="C88" s="19"/>
      <c r="D88" s="19"/>
      <c r="E88" s="19"/>
      <c r="F88" s="19"/>
      <c r="G88" s="19"/>
      <c r="H88" s="19"/>
      <c r="I88" s="19"/>
      <c r="J88" s="33"/>
      <c r="K88" s="33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</row>
    <row r="89" spans="1:25" x14ac:dyDescent="0.2">
      <c r="A89" s="19"/>
      <c r="B89" s="19"/>
      <c r="C89" s="19"/>
      <c r="D89" s="19"/>
      <c r="E89" s="19"/>
      <c r="F89" s="19"/>
      <c r="G89" s="19"/>
      <c r="H89" s="19"/>
      <c r="I89" s="19"/>
      <c r="J89" s="33"/>
      <c r="K89" s="33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</row>
    <row r="90" spans="1:25" x14ac:dyDescent="0.2">
      <c r="A90" s="19"/>
      <c r="B90" s="19"/>
      <c r="C90" s="19"/>
      <c r="D90" s="19"/>
      <c r="E90" s="19"/>
      <c r="F90" s="19"/>
      <c r="G90" s="19"/>
      <c r="H90" s="19"/>
      <c r="I90" s="19"/>
      <c r="J90" s="33"/>
      <c r="K90" s="33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</row>
    <row r="91" spans="1:25" x14ac:dyDescent="0.2">
      <c r="A91" s="19"/>
      <c r="B91" s="19"/>
      <c r="C91" s="19"/>
      <c r="D91" s="19"/>
      <c r="E91" s="19"/>
      <c r="F91" s="19"/>
      <c r="G91" s="19"/>
      <c r="H91" s="19"/>
      <c r="I91" s="19"/>
      <c r="J91" s="33"/>
      <c r="K91" s="33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</row>
    <row r="92" spans="1:25" x14ac:dyDescent="0.2">
      <c r="A92" s="19"/>
      <c r="B92" s="19"/>
      <c r="C92" s="19"/>
      <c r="D92" s="19"/>
      <c r="E92" s="19"/>
      <c r="F92" s="19"/>
      <c r="G92" s="19"/>
      <c r="H92" s="19"/>
      <c r="I92" s="19"/>
      <c r="J92" s="33"/>
      <c r="K92" s="33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</row>
    <row r="93" spans="1:25" x14ac:dyDescent="0.2">
      <c r="A93" s="19"/>
      <c r="B93" s="19"/>
      <c r="C93" s="19"/>
      <c r="D93" s="19"/>
      <c r="E93" s="19"/>
      <c r="F93" s="19"/>
      <c r="G93" s="19"/>
      <c r="H93" s="19"/>
      <c r="I93" s="19"/>
      <c r="J93" s="33"/>
      <c r="K93" s="33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</row>
    <row r="94" spans="1:25" x14ac:dyDescent="0.2">
      <c r="A94" s="19"/>
      <c r="B94" s="19"/>
      <c r="C94" s="19"/>
      <c r="D94" s="19"/>
      <c r="E94" s="19"/>
      <c r="F94" s="19"/>
      <c r="G94" s="19"/>
      <c r="H94" s="19"/>
      <c r="I94" s="19"/>
      <c r="J94" s="33"/>
      <c r="K94" s="33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</row>
    <row r="95" spans="1:25" x14ac:dyDescent="0.2">
      <c r="A95" s="19"/>
      <c r="B95" s="19"/>
      <c r="C95" s="19"/>
      <c r="D95" s="19"/>
      <c r="E95" s="19"/>
      <c r="F95" s="19"/>
      <c r="G95" s="19"/>
      <c r="H95" s="19"/>
      <c r="I95" s="19"/>
      <c r="J95" s="33"/>
      <c r="K95" s="33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</row>
    <row r="96" spans="1:25" x14ac:dyDescent="0.2">
      <c r="A96" s="19"/>
      <c r="B96" s="19"/>
      <c r="C96" s="19"/>
      <c r="D96" s="19"/>
      <c r="E96" s="19"/>
      <c r="F96" s="19"/>
      <c r="G96" s="19"/>
      <c r="H96" s="19"/>
      <c r="I96" s="19"/>
      <c r="J96" s="33"/>
      <c r="K96" s="33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</row>
    <row r="97" spans="1:25" x14ac:dyDescent="0.2">
      <c r="A97" s="19"/>
      <c r="B97" s="19"/>
      <c r="C97" s="19"/>
      <c r="D97" s="19"/>
      <c r="E97" s="19"/>
      <c r="F97" s="19"/>
      <c r="G97" s="19"/>
      <c r="H97" s="19"/>
      <c r="I97" s="19"/>
      <c r="J97" s="33"/>
      <c r="K97" s="33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</row>
    <row r="98" spans="1:25" x14ac:dyDescent="0.2">
      <c r="A98" s="19"/>
      <c r="B98" s="19"/>
      <c r="C98" s="19"/>
      <c r="D98" s="19"/>
      <c r="E98" s="19"/>
      <c r="F98" s="19"/>
      <c r="G98" s="19"/>
      <c r="H98" s="19"/>
      <c r="I98" s="19"/>
      <c r="J98" s="33"/>
      <c r="K98" s="33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</row>
    <row r="99" spans="1:25" x14ac:dyDescent="0.2">
      <c r="A99" s="19"/>
      <c r="B99" s="19"/>
      <c r="C99" s="19"/>
      <c r="D99" s="19"/>
      <c r="E99" s="19"/>
      <c r="F99" s="19"/>
      <c r="G99" s="19"/>
      <c r="H99" s="19"/>
      <c r="I99" s="19"/>
      <c r="J99" s="33"/>
      <c r="K99" s="33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</row>
    <row r="100" spans="1:25" x14ac:dyDescent="0.2">
      <c r="A100" s="19"/>
      <c r="B100" s="19"/>
      <c r="C100" s="19"/>
      <c r="D100" s="19"/>
      <c r="E100" s="19"/>
      <c r="F100" s="19"/>
      <c r="G100" s="19"/>
      <c r="H100" s="19"/>
      <c r="I100" s="19"/>
      <c r="J100" s="33"/>
      <c r="K100" s="33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</row>
    <row r="101" spans="1:25" x14ac:dyDescent="0.2">
      <c r="A101" s="19"/>
      <c r="B101" s="19"/>
      <c r="C101" s="19"/>
      <c r="D101" s="19"/>
      <c r="E101" s="19"/>
      <c r="F101" s="19"/>
      <c r="G101" s="19"/>
      <c r="H101" s="19"/>
      <c r="I101" s="19"/>
      <c r="J101" s="33"/>
      <c r="K101" s="33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</row>
    <row r="102" spans="1:25" x14ac:dyDescent="0.2">
      <c r="A102" s="19"/>
      <c r="B102" s="19"/>
      <c r="C102" s="19"/>
      <c r="D102" s="19"/>
      <c r="E102" s="19"/>
      <c r="F102" s="19"/>
      <c r="G102" s="19"/>
      <c r="H102" s="19"/>
      <c r="I102" s="19"/>
      <c r="J102" s="33"/>
      <c r="K102" s="33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</row>
    <row r="103" spans="1:25" x14ac:dyDescent="0.2">
      <c r="A103" s="19"/>
      <c r="B103" s="19"/>
      <c r="C103" s="19"/>
      <c r="D103" s="19"/>
      <c r="E103" s="19"/>
      <c r="F103" s="19"/>
      <c r="G103" s="19"/>
      <c r="H103" s="19"/>
      <c r="I103" s="19"/>
      <c r="J103" s="33"/>
      <c r="K103" s="33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</row>
    <row r="104" spans="1:25" x14ac:dyDescent="0.2">
      <c r="A104" s="19"/>
      <c r="B104" s="19"/>
      <c r="C104" s="19"/>
      <c r="D104" s="19"/>
      <c r="E104" s="19"/>
      <c r="F104" s="19"/>
      <c r="G104" s="19"/>
      <c r="H104" s="19"/>
      <c r="I104" s="19"/>
      <c r="J104" s="33"/>
      <c r="K104" s="33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</row>
    <row r="105" spans="1:25" x14ac:dyDescent="0.2">
      <c r="A105" s="19"/>
      <c r="B105" s="19"/>
      <c r="C105" s="19"/>
      <c r="D105" s="19"/>
      <c r="E105" s="19"/>
      <c r="F105" s="19"/>
      <c r="G105" s="19"/>
      <c r="H105" s="19"/>
      <c r="I105" s="19"/>
      <c r="J105" s="33"/>
      <c r="K105" s="33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</row>
    <row r="106" spans="1:25" x14ac:dyDescent="0.2">
      <c r="A106" s="19"/>
      <c r="B106" s="19"/>
      <c r="C106" s="19"/>
      <c r="D106" s="19"/>
      <c r="E106" s="19"/>
      <c r="F106" s="19"/>
      <c r="G106" s="19"/>
      <c r="H106" s="19"/>
      <c r="I106" s="19"/>
      <c r="J106" s="33"/>
      <c r="K106" s="33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</row>
    <row r="107" spans="1:25" x14ac:dyDescent="0.2">
      <c r="A107" s="19"/>
      <c r="B107" s="19"/>
      <c r="C107" s="19"/>
      <c r="D107" s="19"/>
      <c r="E107" s="19"/>
      <c r="F107" s="19"/>
      <c r="G107" s="19"/>
      <c r="H107" s="19"/>
      <c r="I107" s="19"/>
      <c r="J107" s="33"/>
      <c r="K107" s="33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</row>
    <row r="108" spans="1:25" x14ac:dyDescent="0.2">
      <c r="A108" s="19"/>
      <c r="B108" s="19"/>
      <c r="C108" s="19"/>
      <c r="D108" s="19"/>
      <c r="E108" s="19"/>
      <c r="F108" s="19"/>
      <c r="G108" s="19"/>
      <c r="H108" s="19"/>
      <c r="I108" s="19"/>
      <c r="J108" s="33"/>
      <c r="K108" s="33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</row>
    <row r="109" spans="1:25" x14ac:dyDescent="0.2">
      <c r="A109" s="19"/>
      <c r="B109" s="19"/>
      <c r="C109" s="19"/>
      <c r="D109" s="19"/>
      <c r="E109" s="19"/>
      <c r="F109" s="19"/>
      <c r="G109" s="19"/>
      <c r="H109" s="19"/>
      <c r="I109" s="19"/>
      <c r="J109" s="33"/>
      <c r="K109" s="33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</row>
    <row r="110" spans="1:25" x14ac:dyDescent="0.2">
      <c r="A110" s="19"/>
      <c r="B110" s="19"/>
      <c r="C110" s="19"/>
      <c r="D110" s="19"/>
      <c r="E110" s="19"/>
      <c r="F110" s="19"/>
      <c r="G110" s="19"/>
      <c r="H110" s="19"/>
      <c r="I110" s="19"/>
      <c r="J110" s="33"/>
      <c r="K110" s="33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</row>
    <row r="111" spans="1:25" x14ac:dyDescent="0.2">
      <c r="A111" s="19"/>
      <c r="B111" s="19"/>
      <c r="C111" s="19"/>
      <c r="D111" s="19"/>
      <c r="E111" s="19"/>
      <c r="F111" s="19"/>
      <c r="G111" s="19"/>
      <c r="H111" s="19"/>
      <c r="I111" s="19"/>
      <c r="J111" s="33"/>
      <c r="K111" s="33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</row>
    <row r="112" spans="1:25" x14ac:dyDescent="0.2">
      <c r="A112" s="19"/>
      <c r="B112" s="19"/>
      <c r="C112" s="19"/>
      <c r="D112" s="19"/>
      <c r="E112" s="19"/>
      <c r="F112" s="19"/>
      <c r="G112" s="19"/>
      <c r="H112" s="19"/>
      <c r="I112" s="19"/>
      <c r="J112" s="33"/>
      <c r="K112" s="33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</row>
    <row r="113" spans="1:25" x14ac:dyDescent="0.2">
      <c r="A113" s="19"/>
      <c r="B113" s="19"/>
      <c r="C113" s="19"/>
      <c r="D113" s="19"/>
      <c r="E113" s="19"/>
      <c r="F113" s="19"/>
      <c r="G113" s="19"/>
      <c r="H113" s="19"/>
      <c r="I113" s="19"/>
      <c r="J113" s="33"/>
      <c r="K113" s="33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</row>
    <row r="114" spans="1:25" x14ac:dyDescent="0.2">
      <c r="A114" s="19"/>
      <c r="B114" s="19"/>
      <c r="C114" s="19"/>
      <c r="D114" s="19"/>
      <c r="E114" s="19"/>
      <c r="F114" s="19"/>
      <c r="G114" s="19"/>
      <c r="H114" s="19"/>
      <c r="I114" s="19"/>
      <c r="J114" s="33"/>
      <c r="K114" s="33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</row>
    <row r="115" spans="1:25" x14ac:dyDescent="0.2">
      <c r="A115" s="19"/>
      <c r="B115" s="19"/>
      <c r="C115" s="19"/>
      <c r="D115" s="19"/>
      <c r="E115" s="19"/>
      <c r="F115" s="19"/>
      <c r="G115" s="19"/>
      <c r="H115" s="19"/>
      <c r="I115" s="19"/>
      <c r="J115" s="33"/>
      <c r="K115" s="33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</row>
    <row r="116" spans="1:25" x14ac:dyDescent="0.2">
      <c r="A116" s="19"/>
      <c r="B116" s="19"/>
      <c r="C116" s="19"/>
      <c r="D116" s="19"/>
      <c r="E116" s="19"/>
      <c r="F116" s="19"/>
      <c r="G116" s="19"/>
      <c r="H116" s="19"/>
      <c r="I116" s="19"/>
      <c r="J116" s="33"/>
      <c r="K116" s="33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</row>
    <row r="117" spans="1:25" x14ac:dyDescent="0.2">
      <c r="A117" s="19"/>
      <c r="B117" s="19"/>
      <c r="C117" s="19"/>
      <c r="D117" s="19"/>
      <c r="E117" s="19"/>
      <c r="F117" s="19"/>
      <c r="G117" s="19"/>
      <c r="H117" s="19"/>
      <c r="I117" s="19"/>
      <c r="J117" s="33"/>
      <c r="K117" s="33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</row>
    <row r="118" spans="1:25" x14ac:dyDescent="0.2">
      <c r="A118" s="19"/>
      <c r="B118" s="19"/>
      <c r="C118" s="19"/>
      <c r="D118" s="19"/>
      <c r="E118" s="19"/>
      <c r="F118" s="19"/>
      <c r="G118" s="19"/>
      <c r="H118" s="19"/>
      <c r="I118" s="19"/>
      <c r="J118" s="33"/>
      <c r="K118" s="33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</row>
    <row r="119" spans="1:25" x14ac:dyDescent="0.2">
      <c r="A119" s="19"/>
      <c r="B119" s="19"/>
      <c r="C119" s="19"/>
      <c r="D119" s="19"/>
      <c r="E119" s="19"/>
      <c r="F119" s="19"/>
      <c r="G119" s="19"/>
      <c r="H119" s="19"/>
      <c r="I119" s="19"/>
      <c r="J119" s="33"/>
      <c r="K119" s="33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</row>
    <row r="120" spans="1:25" x14ac:dyDescent="0.2">
      <c r="A120" s="19"/>
      <c r="B120" s="19"/>
      <c r="C120" s="19"/>
      <c r="D120" s="19"/>
      <c r="E120" s="19"/>
      <c r="F120" s="19"/>
      <c r="G120" s="19"/>
      <c r="H120" s="19"/>
      <c r="I120" s="19"/>
      <c r="J120" s="33"/>
      <c r="K120" s="33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</row>
    <row r="121" spans="1:25" x14ac:dyDescent="0.2">
      <c r="A121" s="19"/>
      <c r="B121" s="19"/>
      <c r="C121" s="19"/>
      <c r="D121" s="19"/>
      <c r="E121" s="19"/>
      <c r="F121" s="19"/>
      <c r="G121" s="19"/>
      <c r="H121" s="19"/>
      <c r="I121" s="19"/>
      <c r="J121" s="33"/>
      <c r="K121" s="33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</row>
    <row r="122" spans="1:25" x14ac:dyDescent="0.2">
      <c r="A122" s="19"/>
      <c r="B122" s="19"/>
      <c r="C122" s="19"/>
      <c r="D122" s="19"/>
      <c r="E122" s="19"/>
      <c r="F122" s="19"/>
      <c r="G122" s="19"/>
      <c r="H122" s="19"/>
      <c r="I122" s="19"/>
      <c r="J122" s="33"/>
      <c r="K122" s="33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</row>
    <row r="123" spans="1:25" x14ac:dyDescent="0.2">
      <c r="A123" s="19"/>
      <c r="B123" s="19"/>
      <c r="C123" s="19"/>
      <c r="D123" s="19"/>
      <c r="E123" s="19"/>
      <c r="F123" s="19"/>
      <c r="G123" s="19"/>
      <c r="H123" s="19"/>
      <c r="I123" s="19"/>
      <c r="J123" s="33"/>
      <c r="K123" s="33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</row>
    <row r="124" spans="1:25" x14ac:dyDescent="0.2">
      <c r="A124" s="19"/>
      <c r="B124" s="19"/>
      <c r="C124" s="19"/>
      <c r="D124" s="19"/>
      <c r="E124" s="19"/>
      <c r="F124" s="19"/>
      <c r="G124" s="19"/>
      <c r="H124" s="19"/>
      <c r="I124" s="19"/>
      <c r="J124" s="33"/>
      <c r="K124" s="33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</row>
    <row r="125" spans="1:25" x14ac:dyDescent="0.2">
      <c r="A125" s="19"/>
      <c r="B125" s="19"/>
      <c r="C125" s="19"/>
      <c r="D125" s="19"/>
      <c r="E125" s="19"/>
      <c r="F125" s="19"/>
      <c r="G125" s="19"/>
      <c r="H125" s="19"/>
      <c r="I125" s="19"/>
      <c r="J125" s="33"/>
      <c r="K125" s="33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</row>
    <row r="126" spans="1:25" x14ac:dyDescent="0.2">
      <c r="A126" s="19"/>
      <c r="B126" s="19"/>
      <c r="C126" s="19"/>
      <c r="D126" s="19"/>
      <c r="E126" s="19"/>
      <c r="F126" s="19"/>
      <c r="G126" s="19"/>
      <c r="H126" s="19"/>
      <c r="I126" s="19"/>
      <c r="J126" s="33"/>
      <c r="K126" s="33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</row>
    <row r="127" spans="1:25" x14ac:dyDescent="0.2">
      <c r="A127" s="19"/>
      <c r="B127" s="19"/>
      <c r="C127" s="19"/>
      <c r="D127" s="19"/>
      <c r="E127" s="19"/>
      <c r="F127" s="19"/>
      <c r="G127" s="19"/>
      <c r="H127" s="19"/>
      <c r="I127" s="19"/>
      <c r="J127" s="33"/>
      <c r="K127" s="33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</row>
    <row r="128" spans="1:25" x14ac:dyDescent="0.2">
      <c r="A128" s="19"/>
      <c r="B128" s="19"/>
      <c r="C128" s="19"/>
      <c r="D128" s="19"/>
      <c r="E128" s="19"/>
      <c r="F128" s="19"/>
      <c r="G128" s="19"/>
      <c r="H128" s="19"/>
      <c r="I128" s="19"/>
      <c r="J128" s="33"/>
      <c r="K128" s="33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</row>
    <row r="129" spans="1:25" x14ac:dyDescent="0.2">
      <c r="A129" s="19"/>
      <c r="B129" s="19"/>
      <c r="C129" s="19"/>
      <c r="D129" s="19"/>
      <c r="E129" s="19"/>
      <c r="F129" s="19"/>
      <c r="G129" s="19"/>
      <c r="H129" s="19"/>
      <c r="I129" s="19"/>
      <c r="J129" s="33"/>
      <c r="K129" s="33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</row>
    <row r="130" spans="1:25" x14ac:dyDescent="0.2">
      <c r="A130" s="19"/>
      <c r="B130" s="19"/>
      <c r="C130" s="19"/>
      <c r="D130" s="19"/>
      <c r="E130" s="19"/>
      <c r="F130" s="19"/>
      <c r="G130" s="19"/>
      <c r="H130" s="19"/>
      <c r="I130" s="19"/>
      <c r="J130" s="33"/>
      <c r="K130" s="33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</row>
    <row r="131" spans="1:25" x14ac:dyDescent="0.2">
      <c r="A131" s="19"/>
      <c r="B131" s="19"/>
      <c r="C131" s="19"/>
      <c r="D131" s="19"/>
      <c r="E131" s="19"/>
      <c r="F131" s="19"/>
      <c r="G131" s="19"/>
      <c r="H131" s="19"/>
      <c r="I131" s="19"/>
      <c r="J131" s="33"/>
      <c r="K131" s="33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</row>
    <row r="132" spans="1:25" x14ac:dyDescent="0.2">
      <c r="A132" s="19"/>
      <c r="B132" s="19"/>
      <c r="C132" s="19"/>
      <c r="D132" s="19"/>
      <c r="E132" s="19"/>
      <c r="F132" s="19"/>
      <c r="G132" s="19"/>
      <c r="H132" s="19"/>
      <c r="I132" s="19"/>
      <c r="J132" s="33"/>
      <c r="K132" s="33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</row>
    <row r="133" spans="1:25" x14ac:dyDescent="0.2">
      <c r="A133" s="19"/>
      <c r="B133" s="19"/>
      <c r="C133" s="19"/>
      <c r="D133" s="19"/>
      <c r="E133" s="19"/>
      <c r="F133" s="19"/>
      <c r="G133" s="19"/>
      <c r="H133" s="19"/>
      <c r="I133" s="19"/>
      <c r="J133" s="33"/>
      <c r="K133" s="33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</row>
    <row r="134" spans="1:25" x14ac:dyDescent="0.2">
      <c r="A134" s="19"/>
      <c r="B134" s="19"/>
      <c r="C134" s="19"/>
      <c r="D134" s="19"/>
      <c r="E134" s="19"/>
      <c r="F134" s="19"/>
      <c r="G134" s="19"/>
      <c r="H134" s="19"/>
      <c r="I134" s="19"/>
      <c r="J134" s="33"/>
      <c r="K134" s="33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</row>
    <row r="135" spans="1:25" x14ac:dyDescent="0.2">
      <c r="A135" s="19"/>
      <c r="B135" s="19"/>
      <c r="C135" s="19"/>
      <c r="D135" s="19"/>
      <c r="E135" s="19"/>
      <c r="F135" s="19"/>
      <c r="G135" s="19"/>
      <c r="H135" s="19"/>
      <c r="I135" s="19"/>
      <c r="J135" s="33"/>
      <c r="K135" s="33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</row>
    <row r="136" spans="1:25" x14ac:dyDescent="0.2">
      <c r="A136" s="19"/>
      <c r="B136" s="19"/>
      <c r="C136" s="19"/>
      <c r="D136" s="19"/>
      <c r="E136" s="19"/>
      <c r="F136" s="19"/>
      <c r="G136" s="19"/>
      <c r="H136" s="19"/>
      <c r="I136" s="19"/>
      <c r="J136" s="33"/>
      <c r="K136" s="33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</row>
    <row r="137" spans="1:25" x14ac:dyDescent="0.2">
      <c r="A137" s="19"/>
      <c r="B137" s="19"/>
      <c r="C137" s="19"/>
      <c r="D137" s="19"/>
      <c r="E137" s="19"/>
      <c r="F137" s="19"/>
      <c r="G137" s="19"/>
      <c r="H137" s="19"/>
      <c r="I137" s="19"/>
      <c r="J137" s="33"/>
      <c r="K137" s="33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</row>
    <row r="138" spans="1:25" x14ac:dyDescent="0.2">
      <c r="A138" s="19"/>
      <c r="B138" s="19"/>
      <c r="C138" s="19"/>
      <c r="D138" s="19"/>
      <c r="E138" s="19"/>
      <c r="F138" s="19"/>
      <c r="G138" s="19"/>
      <c r="H138" s="19"/>
      <c r="I138" s="19"/>
      <c r="J138" s="33"/>
      <c r="K138" s="33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</row>
    <row r="139" spans="1:25" x14ac:dyDescent="0.2">
      <c r="A139" s="19"/>
      <c r="B139" s="19"/>
      <c r="C139" s="19"/>
      <c r="D139" s="19"/>
      <c r="E139" s="19"/>
      <c r="F139" s="19"/>
      <c r="G139" s="19"/>
      <c r="H139" s="19"/>
      <c r="I139" s="19"/>
      <c r="J139" s="33"/>
      <c r="K139" s="33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</row>
    <row r="140" spans="1:25" x14ac:dyDescent="0.2">
      <c r="A140" s="19"/>
      <c r="B140" s="19"/>
      <c r="C140" s="19"/>
      <c r="D140" s="19"/>
      <c r="E140" s="19"/>
      <c r="F140" s="19"/>
      <c r="G140" s="19"/>
      <c r="H140" s="19"/>
      <c r="I140" s="19"/>
      <c r="J140" s="33"/>
      <c r="K140" s="33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</row>
    <row r="141" spans="1:25" x14ac:dyDescent="0.2">
      <c r="A141" s="19"/>
      <c r="B141" s="19"/>
      <c r="C141" s="19"/>
      <c r="D141" s="19"/>
      <c r="E141" s="19"/>
      <c r="F141" s="19"/>
      <c r="G141" s="19"/>
      <c r="H141" s="19"/>
      <c r="I141" s="19"/>
      <c r="J141" s="33"/>
      <c r="K141" s="33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</row>
    <row r="142" spans="1:25" x14ac:dyDescent="0.2">
      <c r="A142" s="19"/>
      <c r="B142" s="19"/>
      <c r="C142" s="19"/>
      <c r="D142" s="19"/>
      <c r="E142" s="19"/>
      <c r="F142" s="19"/>
      <c r="G142" s="19"/>
      <c r="H142" s="19"/>
      <c r="I142" s="19"/>
      <c r="J142" s="33"/>
      <c r="K142" s="33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</row>
    <row r="143" spans="1:25" x14ac:dyDescent="0.2">
      <c r="A143" s="19"/>
      <c r="B143" s="19"/>
      <c r="C143" s="19"/>
      <c r="D143" s="19"/>
      <c r="E143" s="19"/>
      <c r="F143" s="19"/>
      <c r="G143" s="19"/>
      <c r="H143" s="19"/>
      <c r="I143" s="19"/>
      <c r="J143" s="33"/>
      <c r="K143" s="33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</row>
    <row r="144" spans="1:25" x14ac:dyDescent="0.2">
      <c r="A144" s="19"/>
      <c r="B144" s="19"/>
      <c r="C144" s="19"/>
      <c r="D144" s="19"/>
      <c r="E144" s="19"/>
      <c r="F144" s="19"/>
      <c r="G144" s="19"/>
      <c r="H144" s="19"/>
      <c r="I144" s="19"/>
      <c r="J144" s="33"/>
      <c r="K144" s="33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</row>
    <row r="145" spans="1:25" x14ac:dyDescent="0.2">
      <c r="A145" s="19"/>
      <c r="B145" s="19"/>
      <c r="C145" s="19"/>
      <c r="D145" s="19"/>
      <c r="E145" s="19"/>
      <c r="F145" s="19"/>
      <c r="G145" s="19"/>
      <c r="H145" s="19"/>
      <c r="I145" s="19"/>
      <c r="J145" s="33"/>
      <c r="K145" s="33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</row>
    <row r="146" spans="1:25" x14ac:dyDescent="0.2">
      <c r="A146" s="19"/>
      <c r="B146" s="19"/>
      <c r="C146" s="19"/>
      <c r="D146" s="19"/>
      <c r="E146" s="19"/>
      <c r="F146" s="19"/>
      <c r="G146" s="19"/>
      <c r="H146" s="19"/>
      <c r="I146" s="19"/>
      <c r="J146" s="33"/>
      <c r="K146" s="33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</row>
    <row r="147" spans="1:25" x14ac:dyDescent="0.2">
      <c r="A147" s="19"/>
      <c r="B147" s="19"/>
      <c r="C147" s="19"/>
      <c r="D147" s="19"/>
      <c r="E147" s="19"/>
      <c r="F147" s="19"/>
      <c r="G147" s="19"/>
      <c r="H147" s="19"/>
      <c r="I147" s="19"/>
      <c r="J147" s="33"/>
      <c r="K147" s="33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</row>
    <row r="148" spans="1:25" x14ac:dyDescent="0.2">
      <c r="A148" s="19"/>
      <c r="B148" s="19"/>
      <c r="C148" s="19"/>
      <c r="D148" s="19"/>
      <c r="E148" s="19"/>
      <c r="F148" s="19"/>
      <c r="G148" s="19"/>
      <c r="H148" s="19"/>
      <c r="I148" s="19"/>
      <c r="J148" s="33"/>
      <c r="K148" s="33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</row>
    <row r="149" spans="1:25" x14ac:dyDescent="0.2">
      <c r="A149" s="19"/>
      <c r="B149" s="19"/>
      <c r="C149" s="19"/>
      <c r="D149" s="19"/>
      <c r="E149" s="19"/>
      <c r="F149" s="19"/>
      <c r="G149" s="19"/>
      <c r="H149" s="19"/>
      <c r="I149" s="19"/>
      <c r="J149" s="33"/>
      <c r="K149" s="33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</row>
    <row r="150" spans="1:25" x14ac:dyDescent="0.2">
      <c r="A150" s="19"/>
      <c r="B150" s="19"/>
      <c r="C150" s="19"/>
      <c r="D150" s="19"/>
      <c r="E150" s="19"/>
      <c r="F150" s="19"/>
      <c r="G150" s="19"/>
      <c r="H150" s="19"/>
      <c r="I150" s="19"/>
      <c r="J150" s="33"/>
      <c r="K150" s="33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</row>
    <row r="151" spans="1:25" x14ac:dyDescent="0.2">
      <c r="A151" s="19"/>
      <c r="B151" s="19"/>
      <c r="C151" s="19"/>
      <c r="D151" s="19"/>
      <c r="E151" s="19"/>
      <c r="F151" s="19"/>
      <c r="G151" s="19"/>
      <c r="H151" s="19"/>
      <c r="I151" s="19"/>
      <c r="J151" s="33"/>
      <c r="K151" s="33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</row>
    <row r="152" spans="1:25" x14ac:dyDescent="0.2">
      <c r="A152" s="19"/>
      <c r="B152" s="19"/>
      <c r="C152" s="19"/>
      <c r="D152" s="19"/>
      <c r="E152" s="19"/>
      <c r="F152" s="19"/>
      <c r="G152" s="19"/>
      <c r="H152" s="19"/>
      <c r="I152" s="19"/>
      <c r="J152" s="33"/>
      <c r="K152" s="33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</row>
    <row r="153" spans="1:25" x14ac:dyDescent="0.2">
      <c r="A153" s="19"/>
      <c r="B153" s="19"/>
      <c r="C153" s="19"/>
      <c r="D153" s="19"/>
      <c r="E153" s="19"/>
      <c r="F153" s="19"/>
      <c r="G153" s="19"/>
      <c r="H153" s="19"/>
      <c r="I153" s="19"/>
      <c r="J153" s="33"/>
      <c r="K153" s="33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</row>
    <row r="154" spans="1:25" x14ac:dyDescent="0.2">
      <c r="A154" s="19"/>
      <c r="B154" s="19"/>
      <c r="C154" s="19"/>
      <c r="D154" s="19"/>
      <c r="E154" s="19"/>
      <c r="F154" s="19"/>
      <c r="G154" s="19"/>
      <c r="H154" s="19"/>
      <c r="I154" s="19"/>
      <c r="J154" s="33"/>
      <c r="K154" s="33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</row>
    <row r="155" spans="1:25" x14ac:dyDescent="0.2">
      <c r="A155" s="19"/>
      <c r="B155" s="19"/>
      <c r="C155" s="19"/>
      <c r="D155" s="19"/>
      <c r="E155" s="19"/>
      <c r="F155" s="19"/>
      <c r="G155" s="19"/>
      <c r="H155" s="19"/>
      <c r="I155" s="19"/>
      <c r="J155" s="33"/>
      <c r="K155" s="33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</row>
    <row r="156" spans="1:25" x14ac:dyDescent="0.2">
      <c r="A156" s="19"/>
      <c r="B156" s="19"/>
      <c r="C156" s="19"/>
      <c r="D156" s="19"/>
      <c r="E156" s="19"/>
      <c r="F156" s="19"/>
      <c r="G156" s="19"/>
      <c r="H156" s="19"/>
      <c r="I156" s="19"/>
      <c r="J156" s="33"/>
      <c r="K156" s="33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</row>
    <row r="157" spans="1:25" x14ac:dyDescent="0.2">
      <c r="A157" s="19"/>
      <c r="B157" s="19"/>
      <c r="C157" s="19"/>
      <c r="D157" s="19"/>
      <c r="E157" s="19"/>
      <c r="F157" s="19"/>
      <c r="G157" s="19"/>
      <c r="H157" s="19"/>
      <c r="I157" s="19"/>
      <c r="J157" s="33"/>
      <c r="K157" s="33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</row>
    <row r="158" spans="1:25" x14ac:dyDescent="0.2">
      <c r="A158" s="19"/>
      <c r="B158" s="19"/>
      <c r="C158" s="19"/>
      <c r="D158" s="19"/>
      <c r="E158" s="19"/>
      <c r="F158" s="19"/>
      <c r="G158" s="19"/>
      <c r="H158" s="19"/>
      <c r="I158" s="19"/>
      <c r="J158" s="33"/>
      <c r="K158" s="33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</row>
    <row r="159" spans="1:25" x14ac:dyDescent="0.2">
      <c r="A159" s="19"/>
      <c r="B159" s="19"/>
      <c r="C159" s="19"/>
      <c r="D159" s="19"/>
      <c r="E159" s="19"/>
      <c r="F159" s="19"/>
      <c r="G159" s="19"/>
      <c r="H159" s="19"/>
      <c r="I159" s="19"/>
      <c r="J159" s="33"/>
      <c r="K159" s="33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</row>
    <row r="160" spans="1:25" x14ac:dyDescent="0.2">
      <c r="A160" s="19"/>
      <c r="B160" s="19"/>
      <c r="C160" s="19"/>
      <c r="D160" s="19"/>
      <c r="E160" s="19"/>
      <c r="F160" s="19"/>
      <c r="G160" s="19"/>
      <c r="H160" s="19"/>
      <c r="I160" s="19"/>
      <c r="J160" s="33"/>
      <c r="K160" s="33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</row>
    <row r="161" spans="1:25" x14ac:dyDescent="0.2">
      <c r="A161" s="19"/>
      <c r="B161" s="19"/>
      <c r="C161" s="19"/>
      <c r="D161" s="19"/>
      <c r="E161" s="19"/>
      <c r="F161" s="19"/>
      <c r="G161" s="19"/>
      <c r="H161" s="19"/>
      <c r="I161" s="19"/>
      <c r="J161" s="33"/>
      <c r="K161" s="33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</row>
    <row r="162" spans="1:25" x14ac:dyDescent="0.2">
      <c r="A162" s="19"/>
      <c r="B162" s="19"/>
      <c r="C162" s="19"/>
      <c r="D162" s="19"/>
      <c r="E162" s="19"/>
      <c r="F162" s="19"/>
      <c r="G162" s="19"/>
      <c r="H162" s="19"/>
      <c r="I162" s="19"/>
      <c r="J162" s="33"/>
      <c r="K162" s="33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</row>
    <row r="163" spans="1:25" x14ac:dyDescent="0.2">
      <c r="A163" s="19"/>
      <c r="B163" s="19"/>
      <c r="C163" s="19"/>
      <c r="D163" s="19"/>
      <c r="E163" s="19"/>
      <c r="F163" s="19"/>
      <c r="G163" s="19"/>
      <c r="H163" s="19"/>
      <c r="I163" s="19"/>
      <c r="J163" s="33"/>
      <c r="K163" s="33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</row>
    <row r="164" spans="1:25" x14ac:dyDescent="0.2">
      <c r="A164" s="19"/>
      <c r="B164" s="19"/>
      <c r="C164" s="19"/>
      <c r="D164" s="19"/>
      <c r="E164" s="19"/>
      <c r="F164" s="19"/>
      <c r="G164" s="19"/>
      <c r="H164" s="19"/>
      <c r="I164" s="19"/>
      <c r="J164" s="33"/>
      <c r="K164" s="33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</row>
    <row r="165" spans="1:25" x14ac:dyDescent="0.2">
      <c r="A165" s="19"/>
      <c r="B165" s="19"/>
      <c r="C165" s="19"/>
      <c r="D165" s="19"/>
      <c r="E165" s="19"/>
      <c r="F165" s="19"/>
      <c r="G165" s="19"/>
      <c r="H165" s="19"/>
      <c r="I165" s="19"/>
      <c r="J165" s="33"/>
      <c r="K165" s="33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</row>
    <row r="166" spans="1:25" x14ac:dyDescent="0.2">
      <c r="A166" s="19"/>
      <c r="B166" s="19"/>
      <c r="C166" s="19"/>
      <c r="D166" s="19"/>
      <c r="E166" s="19"/>
      <c r="F166" s="19"/>
      <c r="G166" s="19"/>
      <c r="H166" s="19"/>
      <c r="I166" s="19"/>
      <c r="J166" s="33"/>
      <c r="K166" s="33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</row>
    <row r="167" spans="1:25" x14ac:dyDescent="0.2">
      <c r="A167" s="19"/>
      <c r="B167" s="19"/>
      <c r="C167" s="19"/>
      <c r="D167" s="19"/>
      <c r="E167" s="19"/>
      <c r="F167" s="19"/>
      <c r="G167" s="19"/>
      <c r="H167" s="19"/>
      <c r="I167" s="19"/>
      <c r="J167" s="33"/>
      <c r="K167" s="33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</row>
    <row r="168" spans="1:25" x14ac:dyDescent="0.2">
      <c r="A168" s="19"/>
      <c r="B168" s="19"/>
      <c r="C168" s="19"/>
      <c r="D168" s="19"/>
      <c r="E168" s="19"/>
      <c r="F168" s="19"/>
      <c r="G168" s="19"/>
      <c r="H168" s="19"/>
      <c r="I168" s="19"/>
      <c r="J168" s="33"/>
      <c r="K168" s="33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</row>
    <row r="169" spans="1:25" x14ac:dyDescent="0.2">
      <c r="A169" s="19"/>
      <c r="B169" s="19"/>
      <c r="C169" s="19"/>
      <c r="D169" s="19"/>
      <c r="E169" s="19"/>
      <c r="F169" s="19"/>
      <c r="G169" s="19"/>
      <c r="H169" s="19"/>
      <c r="I169" s="19"/>
      <c r="J169" s="33"/>
      <c r="K169" s="33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</row>
    <row r="170" spans="1:25" x14ac:dyDescent="0.2">
      <c r="A170" s="19"/>
      <c r="B170" s="19"/>
      <c r="C170" s="19"/>
      <c r="D170" s="19"/>
      <c r="E170" s="19"/>
      <c r="F170" s="19"/>
      <c r="G170" s="19"/>
      <c r="H170" s="19"/>
      <c r="I170" s="19"/>
      <c r="J170" s="33"/>
      <c r="K170" s="33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</row>
    <row r="171" spans="1:25" x14ac:dyDescent="0.2">
      <c r="A171" s="19"/>
      <c r="B171" s="19"/>
      <c r="C171" s="19"/>
      <c r="D171" s="19"/>
      <c r="E171" s="19"/>
      <c r="F171" s="19"/>
      <c r="G171" s="19"/>
      <c r="H171" s="19"/>
      <c r="I171" s="19"/>
      <c r="J171" s="33"/>
      <c r="K171" s="33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</row>
    <row r="172" spans="1:25" x14ac:dyDescent="0.2">
      <c r="A172" s="19"/>
      <c r="B172" s="19"/>
      <c r="C172" s="19"/>
      <c r="D172" s="19"/>
      <c r="E172" s="19"/>
      <c r="F172" s="19"/>
      <c r="G172" s="19"/>
      <c r="H172" s="19"/>
      <c r="I172" s="19"/>
      <c r="J172" s="33"/>
      <c r="K172" s="33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</row>
    <row r="173" spans="1:25" x14ac:dyDescent="0.2">
      <c r="A173" s="19"/>
      <c r="B173" s="19"/>
      <c r="C173" s="19"/>
      <c r="D173" s="19"/>
      <c r="E173" s="19"/>
      <c r="F173" s="19"/>
      <c r="G173" s="19"/>
      <c r="H173" s="19"/>
      <c r="I173" s="19"/>
      <c r="J173" s="33"/>
      <c r="K173" s="33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</row>
    <row r="174" spans="1:25" x14ac:dyDescent="0.2">
      <c r="A174" s="19"/>
      <c r="B174" s="19"/>
      <c r="C174" s="19"/>
      <c r="D174" s="19"/>
      <c r="E174" s="19"/>
      <c r="F174" s="19"/>
      <c r="G174" s="19"/>
      <c r="H174" s="19"/>
      <c r="I174" s="19"/>
      <c r="J174" s="33"/>
      <c r="K174" s="33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</row>
    <row r="175" spans="1:25" x14ac:dyDescent="0.2">
      <c r="A175" s="19"/>
      <c r="B175" s="19"/>
      <c r="C175" s="19"/>
      <c r="D175" s="19"/>
      <c r="E175" s="19"/>
      <c r="F175" s="19"/>
      <c r="G175" s="19"/>
      <c r="H175" s="19"/>
      <c r="I175" s="19"/>
      <c r="J175" s="33"/>
      <c r="K175" s="33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</row>
    <row r="176" spans="1:25" x14ac:dyDescent="0.2">
      <c r="A176" s="19"/>
      <c r="B176" s="19"/>
      <c r="C176" s="19"/>
      <c r="D176" s="19"/>
      <c r="E176" s="19"/>
      <c r="F176" s="19"/>
      <c r="G176" s="19"/>
      <c r="H176" s="19"/>
      <c r="I176" s="19"/>
      <c r="J176" s="33"/>
      <c r="K176" s="33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</row>
    <row r="177" spans="1:25" x14ac:dyDescent="0.2">
      <c r="A177" s="19"/>
      <c r="B177" s="19"/>
      <c r="C177" s="19"/>
      <c r="D177" s="19"/>
      <c r="E177" s="19"/>
      <c r="F177" s="19"/>
      <c r="G177" s="19"/>
      <c r="H177" s="19"/>
      <c r="I177" s="19"/>
      <c r="J177" s="33"/>
      <c r="K177" s="33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</row>
    <row r="178" spans="1:25" x14ac:dyDescent="0.2">
      <c r="A178" s="19"/>
      <c r="B178" s="19"/>
      <c r="C178" s="19"/>
      <c r="D178" s="19"/>
      <c r="E178" s="19"/>
      <c r="F178" s="19"/>
      <c r="G178" s="19"/>
      <c r="H178" s="19"/>
      <c r="I178" s="19"/>
      <c r="J178" s="33"/>
      <c r="K178" s="33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</row>
    <row r="179" spans="1:25" x14ac:dyDescent="0.2">
      <c r="A179" s="19"/>
      <c r="B179" s="19"/>
      <c r="C179" s="19"/>
      <c r="D179" s="19"/>
      <c r="E179" s="19"/>
      <c r="F179" s="19"/>
      <c r="G179" s="19"/>
      <c r="H179" s="19"/>
      <c r="I179" s="19"/>
      <c r="J179" s="33"/>
      <c r="K179" s="33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</row>
    <row r="180" spans="1:25" x14ac:dyDescent="0.2">
      <c r="A180" s="19"/>
      <c r="B180" s="19"/>
      <c r="C180" s="19"/>
      <c r="D180" s="19"/>
      <c r="E180" s="19"/>
      <c r="F180" s="19"/>
      <c r="G180" s="19"/>
      <c r="H180" s="19"/>
      <c r="I180" s="19"/>
      <c r="J180" s="33"/>
      <c r="K180" s="33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</row>
    <row r="181" spans="1:25" x14ac:dyDescent="0.2">
      <c r="A181" s="19"/>
      <c r="B181" s="19"/>
      <c r="C181" s="19"/>
      <c r="D181" s="19"/>
      <c r="E181" s="19"/>
      <c r="F181" s="19"/>
      <c r="G181" s="19"/>
      <c r="H181" s="19"/>
      <c r="I181" s="19"/>
      <c r="J181" s="33"/>
      <c r="K181" s="33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</row>
    <row r="182" spans="1:25" x14ac:dyDescent="0.2">
      <c r="A182" s="19"/>
      <c r="B182" s="19"/>
      <c r="C182" s="19"/>
      <c r="D182" s="19"/>
      <c r="E182" s="19"/>
      <c r="F182" s="19"/>
      <c r="G182" s="19"/>
      <c r="H182" s="19"/>
      <c r="I182" s="19"/>
      <c r="J182" s="33"/>
      <c r="K182" s="33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</row>
    <row r="183" spans="1:25" x14ac:dyDescent="0.2">
      <c r="A183" s="19"/>
      <c r="B183" s="19"/>
      <c r="C183" s="19"/>
      <c r="D183" s="19"/>
      <c r="E183" s="19"/>
      <c r="F183" s="19"/>
      <c r="G183" s="19"/>
      <c r="H183" s="19"/>
      <c r="I183" s="19"/>
      <c r="J183" s="33"/>
      <c r="K183" s="33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</row>
    <row r="184" spans="1:25" x14ac:dyDescent="0.2">
      <c r="A184" s="19"/>
      <c r="B184" s="19"/>
      <c r="C184" s="19"/>
      <c r="D184" s="19"/>
      <c r="E184" s="19"/>
      <c r="F184" s="19"/>
      <c r="G184" s="19"/>
      <c r="H184" s="19"/>
      <c r="I184" s="19"/>
      <c r="J184" s="33"/>
      <c r="K184" s="33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</row>
    <row r="185" spans="1:25" x14ac:dyDescent="0.2">
      <c r="A185" s="19"/>
      <c r="B185" s="19"/>
      <c r="C185" s="19"/>
      <c r="D185" s="19"/>
      <c r="E185" s="19"/>
      <c r="F185" s="19"/>
      <c r="G185" s="19"/>
      <c r="H185" s="19"/>
      <c r="I185" s="19"/>
      <c r="J185" s="33"/>
      <c r="K185" s="33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</row>
    <row r="186" spans="1:25" x14ac:dyDescent="0.2">
      <c r="A186" s="19"/>
      <c r="B186" s="19"/>
      <c r="C186" s="19"/>
      <c r="D186" s="19"/>
      <c r="E186" s="19"/>
      <c r="F186" s="19"/>
      <c r="G186" s="19"/>
      <c r="H186" s="19"/>
      <c r="I186" s="19"/>
      <c r="J186" s="33"/>
      <c r="K186" s="33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</row>
    <row r="187" spans="1:25" x14ac:dyDescent="0.2">
      <c r="A187" s="19"/>
      <c r="B187" s="19"/>
      <c r="C187" s="19"/>
      <c r="D187" s="19"/>
      <c r="E187" s="19"/>
      <c r="F187" s="19"/>
      <c r="G187" s="19"/>
      <c r="H187" s="19"/>
      <c r="I187" s="19"/>
      <c r="J187" s="33"/>
      <c r="K187" s="33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</row>
    <row r="188" spans="1:25" x14ac:dyDescent="0.2">
      <c r="A188" s="19"/>
      <c r="B188" s="19"/>
      <c r="C188" s="19"/>
      <c r="D188" s="19"/>
      <c r="E188" s="19"/>
      <c r="F188" s="19"/>
      <c r="G188" s="19"/>
      <c r="H188" s="19"/>
      <c r="I188" s="19"/>
      <c r="J188" s="33"/>
      <c r="K188" s="33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</row>
    <row r="189" spans="1:25" x14ac:dyDescent="0.2">
      <c r="A189" s="19"/>
      <c r="B189" s="19"/>
      <c r="C189" s="19"/>
      <c r="D189" s="19"/>
      <c r="E189" s="19"/>
      <c r="F189" s="19"/>
      <c r="G189" s="19"/>
      <c r="H189" s="19"/>
      <c r="I189" s="19"/>
      <c r="J189" s="33"/>
      <c r="K189" s="33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</row>
    <row r="190" spans="1:25" x14ac:dyDescent="0.2">
      <c r="A190" s="19"/>
      <c r="B190" s="19"/>
      <c r="C190" s="19"/>
      <c r="D190" s="19"/>
      <c r="E190" s="19"/>
      <c r="F190" s="19"/>
      <c r="G190" s="19"/>
      <c r="H190" s="19"/>
      <c r="I190" s="19"/>
      <c r="J190" s="33"/>
      <c r="K190" s="33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</row>
    <row r="191" spans="1:25" x14ac:dyDescent="0.2">
      <c r="A191" s="19"/>
      <c r="B191" s="19"/>
      <c r="C191" s="19"/>
      <c r="D191" s="19"/>
      <c r="E191" s="19"/>
      <c r="F191" s="19"/>
      <c r="G191" s="19"/>
      <c r="H191" s="19"/>
      <c r="I191" s="19"/>
      <c r="J191" s="33"/>
      <c r="K191" s="33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</row>
    <row r="192" spans="1:25" x14ac:dyDescent="0.2">
      <c r="A192" s="19"/>
      <c r="B192" s="19"/>
      <c r="C192" s="19"/>
      <c r="D192" s="19"/>
      <c r="E192" s="19"/>
      <c r="F192" s="19"/>
      <c r="G192" s="19"/>
      <c r="H192" s="19"/>
      <c r="I192" s="19"/>
      <c r="J192" s="33"/>
      <c r="K192" s="33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</row>
    <row r="193" spans="1:25" x14ac:dyDescent="0.2">
      <c r="A193" s="19"/>
      <c r="B193" s="19"/>
      <c r="C193" s="19"/>
      <c r="D193" s="19"/>
      <c r="E193" s="19"/>
      <c r="F193" s="19"/>
      <c r="G193" s="19"/>
      <c r="H193" s="19"/>
      <c r="I193" s="19"/>
      <c r="J193" s="33"/>
      <c r="K193" s="33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</row>
    <row r="194" spans="1:25" x14ac:dyDescent="0.2">
      <c r="A194" s="19"/>
      <c r="B194" s="19"/>
      <c r="C194" s="19"/>
      <c r="D194" s="19"/>
      <c r="E194" s="19"/>
      <c r="F194" s="19"/>
      <c r="G194" s="19"/>
      <c r="H194" s="19"/>
      <c r="I194" s="19"/>
      <c r="J194" s="33"/>
      <c r="K194" s="33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</row>
    <row r="195" spans="1:25" x14ac:dyDescent="0.2">
      <c r="A195" s="19"/>
      <c r="B195" s="19"/>
      <c r="C195" s="19"/>
      <c r="D195" s="19"/>
      <c r="E195" s="19"/>
      <c r="F195" s="19"/>
      <c r="G195" s="19"/>
      <c r="H195" s="19"/>
      <c r="I195" s="19"/>
      <c r="J195" s="33"/>
      <c r="K195" s="33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</row>
    <row r="196" spans="1:25" x14ac:dyDescent="0.2">
      <c r="A196" s="19"/>
      <c r="B196" s="19"/>
      <c r="C196" s="19"/>
      <c r="D196" s="19"/>
      <c r="E196" s="19"/>
      <c r="F196" s="19"/>
      <c r="G196" s="19"/>
      <c r="H196" s="19"/>
      <c r="I196" s="19"/>
      <c r="J196" s="33"/>
      <c r="K196" s="33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</row>
    <row r="197" spans="1:25" x14ac:dyDescent="0.2">
      <c r="A197" s="19"/>
      <c r="B197" s="19"/>
      <c r="C197" s="19"/>
      <c r="D197" s="19"/>
      <c r="E197" s="19"/>
      <c r="F197" s="19"/>
      <c r="G197" s="19"/>
      <c r="H197" s="19"/>
      <c r="I197" s="19"/>
      <c r="J197" s="33"/>
      <c r="K197" s="33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</row>
    <row r="198" spans="1:25" x14ac:dyDescent="0.2">
      <c r="A198" s="19"/>
      <c r="B198" s="19"/>
      <c r="C198" s="19"/>
      <c r="D198" s="19"/>
      <c r="E198" s="19"/>
      <c r="F198" s="19"/>
      <c r="G198" s="19"/>
      <c r="H198" s="19"/>
      <c r="I198" s="19"/>
      <c r="J198" s="33"/>
      <c r="K198" s="33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</row>
    <row r="199" spans="1:25" x14ac:dyDescent="0.2">
      <c r="A199" s="19"/>
      <c r="B199" s="19"/>
      <c r="C199" s="19"/>
      <c r="D199" s="19"/>
      <c r="E199" s="19"/>
      <c r="F199" s="19"/>
      <c r="G199" s="19"/>
      <c r="H199" s="19"/>
      <c r="I199" s="19"/>
      <c r="J199" s="33"/>
      <c r="K199" s="33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</row>
    <row r="200" spans="1:25" x14ac:dyDescent="0.2">
      <c r="A200" s="19"/>
      <c r="B200" s="19"/>
      <c r="C200" s="19"/>
      <c r="D200" s="19"/>
      <c r="E200" s="19"/>
      <c r="F200" s="19"/>
      <c r="G200" s="19"/>
      <c r="H200" s="19"/>
      <c r="I200" s="19"/>
      <c r="J200" s="33"/>
      <c r="K200" s="33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</row>
    <row r="201" spans="1:25" x14ac:dyDescent="0.2">
      <c r="A201" s="19"/>
      <c r="B201" s="19"/>
      <c r="C201" s="19"/>
      <c r="D201" s="19"/>
      <c r="E201" s="19"/>
      <c r="F201" s="19"/>
      <c r="G201" s="19"/>
      <c r="H201" s="19"/>
      <c r="I201" s="19"/>
      <c r="J201" s="33"/>
      <c r="K201" s="33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</row>
    <row r="202" spans="1:25" x14ac:dyDescent="0.2">
      <c r="A202" s="19"/>
      <c r="B202" s="19"/>
      <c r="C202" s="19"/>
      <c r="D202" s="19"/>
      <c r="E202" s="19"/>
      <c r="F202" s="19"/>
      <c r="G202" s="19"/>
      <c r="H202" s="19"/>
      <c r="I202" s="19"/>
      <c r="J202" s="33"/>
      <c r="K202" s="33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</row>
    <row r="203" spans="1:25" x14ac:dyDescent="0.2">
      <c r="A203" s="19"/>
      <c r="B203" s="19"/>
      <c r="C203" s="19"/>
      <c r="D203" s="19"/>
      <c r="E203" s="19"/>
      <c r="F203" s="19"/>
      <c r="G203" s="19"/>
      <c r="H203" s="19"/>
      <c r="I203" s="19"/>
      <c r="J203" s="33"/>
      <c r="K203" s="33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</row>
    <row r="204" spans="1:25" x14ac:dyDescent="0.2">
      <c r="A204" s="19"/>
      <c r="B204" s="19"/>
      <c r="C204" s="19"/>
      <c r="D204" s="19"/>
      <c r="E204" s="19"/>
      <c r="F204" s="19"/>
      <c r="G204" s="19"/>
      <c r="H204" s="19"/>
      <c r="I204" s="19"/>
      <c r="J204" s="33"/>
      <c r="K204" s="33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</row>
    <row r="205" spans="1:25" x14ac:dyDescent="0.2">
      <c r="A205" s="19"/>
      <c r="B205" s="19"/>
      <c r="C205" s="19"/>
      <c r="D205" s="19"/>
      <c r="E205" s="19"/>
      <c r="F205" s="19"/>
      <c r="G205" s="19"/>
      <c r="H205" s="19"/>
      <c r="I205" s="19"/>
      <c r="J205" s="33"/>
      <c r="K205" s="33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</row>
    <row r="206" spans="1:25" x14ac:dyDescent="0.2">
      <c r="A206" s="19"/>
      <c r="B206" s="19"/>
      <c r="C206" s="19"/>
      <c r="D206" s="19"/>
      <c r="E206" s="19"/>
      <c r="F206" s="19"/>
      <c r="G206" s="19"/>
      <c r="H206" s="19"/>
      <c r="I206" s="19"/>
      <c r="J206" s="33"/>
      <c r="K206" s="33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</row>
    <row r="207" spans="1:25" x14ac:dyDescent="0.2">
      <c r="A207" s="19"/>
      <c r="B207" s="19"/>
      <c r="C207" s="19"/>
      <c r="D207" s="19"/>
      <c r="E207" s="19"/>
      <c r="F207" s="19"/>
      <c r="G207" s="19"/>
      <c r="H207" s="19"/>
      <c r="I207" s="19"/>
      <c r="J207" s="33"/>
      <c r="K207" s="33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</row>
    <row r="208" spans="1:25" x14ac:dyDescent="0.2">
      <c r="A208" s="19"/>
      <c r="B208" s="19"/>
      <c r="C208" s="19"/>
      <c r="D208" s="19"/>
      <c r="E208" s="19"/>
      <c r="F208" s="19"/>
      <c r="G208" s="19"/>
      <c r="H208" s="19"/>
      <c r="I208" s="19"/>
      <c r="J208" s="33"/>
      <c r="K208" s="33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</row>
    <row r="209" spans="1:25" x14ac:dyDescent="0.2">
      <c r="A209" s="19"/>
      <c r="B209" s="19"/>
      <c r="C209" s="19"/>
      <c r="D209" s="19"/>
      <c r="E209" s="19"/>
      <c r="F209" s="19"/>
      <c r="G209" s="19"/>
      <c r="H209" s="19"/>
      <c r="I209" s="19"/>
      <c r="J209" s="33"/>
      <c r="K209" s="33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</row>
    <row r="210" spans="1:25" x14ac:dyDescent="0.2">
      <c r="A210" s="19"/>
      <c r="B210" s="19"/>
      <c r="C210" s="19"/>
      <c r="D210" s="19"/>
      <c r="E210" s="19"/>
      <c r="F210" s="19"/>
      <c r="G210" s="19"/>
      <c r="H210" s="19"/>
      <c r="I210" s="19"/>
      <c r="J210" s="33"/>
      <c r="K210" s="33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</row>
    <row r="211" spans="1:25" x14ac:dyDescent="0.2">
      <c r="A211" s="19"/>
      <c r="B211" s="19"/>
      <c r="C211" s="19"/>
      <c r="D211" s="19"/>
      <c r="E211" s="19"/>
      <c r="F211" s="19"/>
      <c r="G211" s="19"/>
      <c r="H211" s="19"/>
      <c r="I211" s="19"/>
      <c r="J211" s="33"/>
      <c r="K211" s="33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</row>
    <row r="212" spans="1:25" x14ac:dyDescent="0.2">
      <c r="A212" s="19"/>
      <c r="B212" s="19"/>
      <c r="C212" s="19"/>
      <c r="D212" s="19"/>
      <c r="E212" s="19"/>
      <c r="F212" s="19"/>
      <c r="G212" s="19"/>
      <c r="H212" s="19"/>
      <c r="I212" s="19"/>
      <c r="J212" s="33"/>
      <c r="K212" s="33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</row>
    <row r="213" spans="1:25" x14ac:dyDescent="0.2">
      <c r="A213" s="19"/>
      <c r="B213" s="19"/>
      <c r="C213" s="19"/>
      <c r="D213" s="19"/>
      <c r="E213" s="19"/>
      <c r="F213" s="19"/>
      <c r="G213" s="19"/>
      <c r="H213" s="19"/>
      <c r="I213" s="19"/>
      <c r="J213" s="33"/>
      <c r="K213" s="33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</row>
    <row r="214" spans="1:25" x14ac:dyDescent="0.2">
      <c r="A214" s="19"/>
      <c r="B214" s="19"/>
      <c r="C214" s="19"/>
      <c r="D214" s="19"/>
      <c r="E214" s="19"/>
      <c r="F214" s="19"/>
      <c r="G214" s="19"/>
      <c r="H214" s="19"/>
      <c r="I214" s="19"/>
      <c r="J214" s="33"/>
      <c r="K214" s="33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</row>
    <row r="215" spans="1:25" x14ac:dyDescent="0.2">
      <c r="A215" s="19"/>
      <c r="B215" s="19"/>
      <c r="C215" s="19"/>
      <c r="D215" s="19"/>
      <c r="E215" s="19"/>
      <c r="F215" s="19"/>
      <c r="G215" s="19"/>
      <c r="H215" s="19"/>
      <c r="I215" s="19"/>
      <c r="J215" s="33"/>
      <c r="K215" s="33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</row>
    <row r="216" spans="1:25" x14ac:dyDescent="0.2">
      <c r="A216" s="19"/>
      <c r="B216" s="19"/>
      <c r="C216" s="19"/>
      <c r="D216" s="19"/>
      <c r="E216" s="19"/>
      <c r="F216" s="19"/>
      <c r="G216" s="19"/>
      <c r="H216" s="19"/>
      <c r="I216" s="19"/>
      <c r="J216" s="33"/>
      <c r="K216" s="33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</row>
    <row r="217" spans="1:25" x14ac:dyDescent="0.2">
      <c r="A217" s="19"/>
      <c r="B217" s="19"/>
      <c r="C217" s="19"/>
      <c r="D217" s="19"/>
      <c r="E217" s="19"/>
      <c r="F217" s="19"/>
      <c r="G217" s="19"/>
      <c r="H217" s="19"/>
      <c r="I217" s="19"/>
      <c r="J217" s="33"/>
      <c r="K217" s="33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</row>
    <row r="218" spans="1:25" x14ac:dyDescent="0.2">
      <c r="A218" s="19"/>
      <c r="B218" s="19"/>
      <c r="C218" s="19"/>
      <c r="D218" s="19"/>
      <c r="E218" s="19"/>
      <c r="F218" s="19"/>
      <c r="G218" s="19"/>
      <c r="H218" s="19"/>
      <c r="I218" s="19"/>
      <c r="J218" s="33"/>
      <c r="K218" s="33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</row>
    <row r="219" spans="1:25" x14ac:dyDescent="0.2">
      <c r="A219" s="19"/>
      <c r="B219" s="19"/>
      <c r="C219" s="19"/>
      <c r="D219" s="19"/>
      <c r="E219" s="19"/>
      <c r="F219" s="19"/>
      <c r="G219" s="19"/>
      <c r="H219" s="19"/>
      <c r="I219" s="19"/>
      <c r="J219" s="33"/>
      <c r="K219" s="33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</row>
    <row r="220" spans="1:25" x14ac:dyDescent="0.2">
      <c r="A220" s="19"/>
      <c r="B220" s="19"/>
      <c r="C220" s="19"/>
      <c r="D220" s="19"/>
      <c r="E220" s="19"/>
      <c r="F220" s="19"/>
      <c r="G220" s="19"/>
      <c r="H220" s="19"/>
      <c r="I220" s="19"/>
      <c r="J220" s="33"/>
      <c r="K220" s="33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</row>
    <row r="221" spans="1:25" x14ac:dyDescent="0.2">
      <c r="A221" s="19"/>
      <c r="B221" s="19"/>
      <c r="C221" s="19"/>
      <c r="D221" s="19"/>
      <c r="E221" s="19"/>
      <c r="F221" s="19"/>
      <c r="G221" s="19"/>
      <c r="H221" s="19"/>
      <c r="I221" s="19"/>
      <c r="J221" s="33"/>
      <c r="K221" s="33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</row>
    <row r="222" spans="1:25" x14ac:dyDescent="0.2">
      <c r="A222" s="19"/>
      <c r="B222" s="19"/>
      <c r="C222" s="19"/>
      <c r="D222" s="19"/>
      <c r="E222" s="19"/>
      <c r="F222" s="19"/>
      <c r="G222" s="19"/>
      <c r="H222" s="19"/>
      <c r="I222" s="19"/>
      <c r="J222" s="33"/>
      <c r="K222" s="33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</row>
    <row r="223" spans="1:25" x14ac:dyDescent="0.2">
      <c r="A223" s="19"/>
      <c r="B223" s="19"/>
      <c r="C223" s="19"/>
      <c r="D223" s="19"/>
      <c r="E223" s="19"/>
      <c r="F223" s="19"/>
      <c r="G223" s="19"/>
      <c r="H223" s="19"/>
      <c r="I223" s="19"/>
      <c r="J223" s="33"/>
      <c r="K223" s="33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</row>
    <row r="224" spans="1:25" x14ac:dyDescent="0.2">
      <c r="A224" s="19"/>
      <c r="B224" s="19"/>
      <c r="C224" s="19"/>
      <c r="D224" s="19"/>
      <c r="E224" s="19"/>
      <c r="F224" s="19"/>
      <c r="G224" s="19"/>
      <c r="H224" s="19"/>
      <c r="I224" s="19"/>
      <c r="J224" s="33"/>
      <c r="K224" s="33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</row>
    <row r="225" spans="1:25" x14ac:dyDescent="0.2">
      <c r="A225" s="19"/>
      <c r="B225" s="19"/>
      <c r="C225" s="19"/>
      <c r="D225" s="19"/>
      <c r="E225" s="19"/>
      <c r="F225" s="19"/>
      <c r="G225" s="19"/>
      <c r="H225" s="19"/>
      <c r="I225" s="19"/>
      <c r="J225" s="33"/>
      <c r="K225" s="33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</row>
    <row r="226" spans="1:25" x14ac:dyDescent="0.2">
      <c r="A226" s="19"/>
      <c r="B226" s="19"/>
      <c r="C226" s="19"/>
      <c r="D226" s="19"/>
      <c r="E226" s="19"/>
      <c r="F226" s="19"/>
      <c r="G226" s="19"/>
      <c r="H226" s="19"/>
      <c r="I226" s="19"/>
      <c r="J226" s="33"/>
      <c r="K226" s="33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</row>
    <row r="227" spans="1:25" x14ac:dyDescent="0.2">
      <c r="A227" s="19"/>
      <c r="B227" s="19"/>
      <c r="C227" s="19"/>
      <c r="D227" s="19"/>
      <c r="E227" s="19"/>
      <c r="F227" s="19"/>
      <c r="G227" s="19"/>
      <c r="H227" s="19"/>
      <c r="I227" s="19"/>
      <c r="J227" s="33"/>
      <c r="K227" s="33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</row>
    <row r="228" spans="1:25" x14ac:dyDescent="0.2">
      <c r="A228" s="19"/>
      <c r="B228" s="19"/>
      <c r="C228" s="19"/>
      <c r="D228" s="19"/>
      <c r="E228" s="19"/>
      <c r="F228" s="19"/>
      <c r="G228" s="19"/>
      <c r="H228" s="19"/>
      <c r="I228" s="19"/>
      <c r="J228" s="33"/>
      <c r="K228" s="33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</row>
    <row r="229" spans="1:25" x14ac:dyDescent="0.2">
      <c r="A229" s="19"/>
      <c r="B229" s="19"/>
      <c r="C229" s="19"/>
      <c r="D229" s="19"/>
      <c r="E229" s="19"/>
      <c r="F229" s="19"/>
      <c r="G229" s="19"/>
      <c r="H229" s="19"/>
      <c r="I229" s="19"/>
      <c r="J229" s="33"/>
      <c r="K229" s="33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</row>
    <row r="230" spans="1:25" x14ac:dyDescent="0.2">
      <c r="A230" s="19"/>
      <c r="B230" s="19"/>
      <c r="C230" s="19"/>
      <c r="D230" s="19"/>
      <c r="E230" s="19"/>
      <c r="F230" s="19"/>
      <c r="G230" s="19"/>
      <c r="H230" s="19"/>
      <c r="I230" s="19"/>
      <c r="J230" s="33"/>
      <c r="K230" s="33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</row>
    <row r="231" spans="1:25" x14ac:dyDescent="0.2">
      <c r="A231" s="19"/>
      <c r="B231" s="19"/>
      <c r="C231" s="19"/>
      <c r="D231" s="19"/>
      <c r="E231" s="19"/>
      <c r="F231" s="19"/>
      <c r="G231" s="19"/>
      <c r="H231" s="19"/>
      <c r="I231" s="19"/>
      <c r="J231" s="33"/>
      <c r="K231" s="33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</row>
    <row r="232" spans="1:25" x14ac:dyDescent="0.2">
      <c r="A232" s="19"/>
      <c r="B232" s="19"/>
      <c r="C232" s="19"/>
      <c r="D232" s="19"/>
      <c r="E232" s="19"/>
      <c r="F232" s="19"/>
      <c r="G232" s="19"/>
      <c r="H232" s="19"/>
      <c r="I232" s="19"/>
      <c r="J232" s="33"/>
      <c r="K232" s="33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</row>
    <row r="233" spans="1:25" x14ac:dyDescent="0.2">
      <c r="A233" s="19"/>
      <c r="B233" s="19"/>
      <c r="C233" s="19"/>
      <c r="D233" s="19"/>
      <c r="E233" s="19"/>
      <c r="F233" s="19"/>
      <c r="G233" s="19"/>
      <c r="H233" s="19"/>
      <c r="I233" s="19"/>
      <c r="J233" s="33"/>
      <c r="K233" s="33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</row>
    <row r="234" spans="1:25" x14ac:dyDescent="0.2">
      <c r="A234" s="19"/>
      <c r="B234" s="19"/>
      <c r="C234" s="19"/>
      <c r="D234" s="19"/>
      <c r="E234" s="19"/>
      <c r="F234" s="19"/>
      <c r="G234" s="19"/>
      <c r="H234" s="19"/>
      <c r="I234" s="19"/>
      <c r="J234" s="33"/>
      <c r="K234" s="33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</row>
    <row r="235" spans="1:25" x14ac:dyDescent="0.2">
      <c r="A235" s="19"/>
      <c r="B235" s="19"/>
      <c r="C235" s="19"/>
      <c r="D235" s="19"/>
      <c r="E235" s="19"/>
      <c r="F235" s="19"/>
      <c r="G235" s="19"/>
      <c r="H235" s="19"/>
      <c r="I235" s="19"/>
      <c r="J235" s="33"/>
      <c r="K235" s="33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</row>
    <row r="236" spans="1:25" x14ac:dyDescent="0.2">
      <c r="A236" s="19"/>
      <c r="B236" s="19"/>
      <c r="C236" s="19"/>
      <c r="D236" s="19"/>
      <c r="E236" s="19"/>
      <c r="F236" s="19"/>
      <c r="G236" s="19"/>
      <c r="H236" s="19"/>
      <c r="I236" s="19"/>
      <c r="J236" s="33"/>
      <c r="K236" s="33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</row>
    <row r="237" spans="1:25" x14ac:dyDescent="0.2">
      <c r="A237" s="19"/>
      <c r="B237" s="19"/>
      <c r="C237" s="19"/>
      <c r="D237" s="19"/>
      <c r="E237" s="19"/>
      <c r="F237" s="19"/>
      <c r="G237" s="19"/>
      <c r="H237" s="19"/>
      <c r="I237" s="19"/>
      <c r="J237" s="33"/>
      <c r="K237" s="33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</row>
    <row r="238" spans="1:25" x14ac:dyDescent="0.2">
      <c r="A238" s="19"/>
      <c r="B238" s="19"/>
      <c r="C238" s="19"/>
      <c r="D238" s="19"/>
      <c r="E238" s="19"/>
      <c r="F238" s="19"/>
      <c r="G238" s="19"/>
      <c r="H238" s="19"/>
      <c r="I238" s="19"/>
      <c r="J238" s="33"/>
      <c r="K238" s="33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</row>
    <row r="239" spans="1:25" x14ac:dyDescent="0.2">
      <c r="A239" s="19"/>
      <c r="B239" s="19"/>
      <c r="C239" s="19"/>
      <c r="D239" s="19"/>
      <c r="E239" s="19"/>
      <c r="F239" s="19"/>
      <c r="G239" s="19"/>
      <c r="H239" s="19"/>
      <c r="I239" s="19"/>
      <c r="J239" s="33"/>
      <c r="K239" s="33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</row>
    <row r="240" spans="1:25" x14ac:dyDescent="0.2">
      <c r="A240" s="19"/>
      <c r="B240" s="19"/>
      <c r="C240" s="19"/>
      <c r="D240" s="19"/>
      <c r="E240" s="19"/>
      <c r="F240" s="19"/>
      <c r="G240" s="19"/>
      <c r="H240" s="19"/>
      <c r="I240" s="19"/>
      <c r="J240" s="33"/>
      <c r="K240" s="33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</row>
    <row r="241" spans="1:25" x14ac:dyDescent="0.2">
      <c r="A241" s="19"/>
      <c r="B241" s="19"/>
      <c r="C241" s="19"/>
      <c r="D241" s="19"/>
      <c r="E241" s="19"/>
      <c r="F241" s="19"/>
      <c r="G241" s="19"/>
      <c r="H241" s="19"/>
      <c r="I241" s="19"/>
      <c r="J241" s="33"/>
      <c r="K241" s="33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</row>
    <row r="242" spans="1:25" x14ac:dyDescent="0.2">
      <c r="A242" s="19"/>
      <c r="B242" s="19"/>
      <c r="C242" s="19"/>
      <c r="D242" s="19"/>
      <c r="E242" s="19"/>
      <c r="F242" s="19"/>
      <c r="G242" s="19"/>
      <c r="H242" s="19"/>
      <c r="I242" s="19"/>
      <c r="J242" s="33"/>
      <c r="K242" s="33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</row>
    <row r="243" spans="1:25" x14ac:dyDescent="0.2">
      <c r="A243" s="19"/>
      <c r="B243" s="19"/>
      <c r="C243" s="19"/>
      <c r="D243" s="19"/>
      <c r="E243" s="19"/>
      <c r="F243" s="19"/>
      <c r="G243" s="19"/>
      <c r="H243" s="19"/>
      <c r="I243" s="19"/>
      <c r="J243" s="33"/>
      <c r="K243" s="33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</row>
    <row r="244" spans="1:25" x14ac:dyDescent="0.2">
      <c r="A244" s="19"/>
      <c r="B244" s="19"/>
      <c r="C244" s="19"/>
      <c r="D244" s="19"/>
      <c r="E244" s="19"/>
      <c r="F244" s="19"/>
      <c r="G244" s="19"/>
      <c r="H244" s="19"/>
      <c r="I244" s="19"/>
      <c r="J244" s="33"/>
      <c r="K244" s="33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</row>
    <row r="245" spans="1:25" x14ac:dyDescent="0.2">
      <c r="A245" s="19"/>
      <c r="B245" s="19"/>
      <c r="C245" s="19"/>
      <c r="D245" s="19"/>
      <c r="E245" s="19"/>
      <c r="F245" s="19"/>
      <c r="G245" s="19"/>
      <c r="H245" s="19"/>
      <c r="I245" s="19"/>
      <c r="J245" s="33"/>
      <c r="K245" s="33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</row>
    <row r="246" spans="1:25" x14ac:dyDescent="0.2">
      <c r="A246" s="19"/>
      <c r="B246" s="19"/>
      <c r="C246" s="19"/>
      <c r="D246" s="19"/>
      <c r="E246" s="19"/>
      <c r="F246" s="19"/>
      <c r="G246" s="19"/>
      <c r="H246" s="19"/>
      <c r="I246" s="19"/>
      <c r="J246" s="33"/>
      <c r="K246" s="33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</row>
    <row r="247" spans="1:25" x14ac:dyDescent="0.2">
      <c r="A247" s="19"/>
      <c r="B247" s="19"/>
      <c r="C247" s="19"/>
      <c r="D247" s="19"/>
      <c r="E247" s="19"/>
      <c r="F247" s="19"/>
      <c r="G247" s="19"/>
      <c r="H247" s="19"/>
      <c r="I247" s="19"/>
      <c r="J247" s="33"/>
      <c r="K247" s="33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</row>
    <row r="248" spans="1:25" x14ac:dyDescent="0.2">
      <c r="A248" s="19"/>
      <c r="B248" s="19"/>
      <c r="C248" s="19"/>
      <c r="D248" s="19"/>
      <c r="E248" s="19"/>
      <c r="F248" s="19"/>
      <c r="G248" s="19"/>
      <c r="H248" s="19"/>
      <c r="I248" s="19"/>
      <c r="J248" s="33"/>
      <c r="K248" s="33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</row>
    <row r="249" spans="1:25" x14ac:dyDescent="0.2">
      <c r="A249" s="19"/>
      <c r="B249" s="19"/>
      <c r="C249" s="19"/>
      <c r="D249" s="19"/>
      <c r="E249" s="19"/>
      <c r="F249" s="19"/>
      <c r="G249" s="19"/>
      <c r="H249" s="19"/>
      <c r="I249" s="19"/>
      <c r="J249" s="33"/>
      <c r="K249" s="33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</row>
    <row r="250" spans="1:25" x14ac:dyDescent="0.2">
      <c r="A250" s="19"/>
      <c r="B250" s="19"/>
      <c r="C250" s="19"/>
      <c r="D250" s="19"/>
      <c r="E250" s="19"/>
      <c r="F250" s="19"/>
      <c r="G250" s="19"/>
      <c r="H250" s="19"/>
      <c r="I250" s="19"/>
      <c r="J250" s="33"/>
      <c r="K250" s="33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</row>
    <row r="251" spans="1:25" x14ac:dyDescent="0.2">
      <c r="A251" s="19"/>
      <c r="B251" s="19"/>
      <c r="C251" s="19"/>
      <c r="D251" s="19"/>
      <c r="E251" s="19"/>
      <c r="F251" s="19"/>
      <c r="G251" s="19"/>
      <c r="H251" s="19"/>
      <c r="I251" s="19"/>
      <c r="J251" s="33"/>
      <c r="K251" s="33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</row>
    <row r="252" spans="1:25" x14ac:dyDescent="0.2">
      <c r="A252" s="19"/>
      <c r="B252" s="19"/>
      <c r="C252" s="19"/>
      <c r="D252" s="19"/>
      <c r="E252" s="19"/>
      <c r="F252" s="19"/>
      <c r="G252" s="19"/>
      <c r="H252" s="19"/>
      <c r="I252" s="19"/>
      <c r="J252" s="33"/>
      <c r="K252" s="33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</row>
    <row r="253" spans="1:25" x14ac:dyDescent="0.2">
      <c r="A253" s="19"/>
      <c r="B253" s="19"/>
      <c r="C253" s="19"/>
      <c r="D253" s="19"/>
      <c r="E253" s="19"/>
      <c r="F253" s="19"/>
      <c r="G253" s="19"/>
      <c r="H253" s="19"/>
      <c r="I253" s="19"/>
      <c r="J253" s="33"/>
      <c r="K253" s="33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</row>
    <row r="254" spans="1:25" x14ac:dyDescent="0.2">
      <c r="A254" s="19"/>
      <c r="B254" s="19"/>
      <c r="C254" s="19"/>
      <c r="D254" s="19"/>
      <c r="E254" s="19"/>
      <c r="F254" s="19"/>
      <c r="G254" s="19"/>
      <c r="H254" s="19"/>
      <c r="I254" s="19"/>
      <c r="J254" s="33"/>
      <c r="K254" s="33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</row>
    <row r="255" spans="1:25" x14ac:dyDescent="0.2">
      <c r="A255" s="19"/>
      <c r="B255" s="19"/>
      <c r="C255" s="19"/>
      <c r="D255" s="19"/>
      <c r="E255" s="19"/>
      <c r="F255" s="19"/>
      <c r="G255" s="19"/>
      <c r="H255" s="19"/>
      <c r="I255" s="19"/>
      <c r="J255" s="33"/>
      <c r="K255" s="33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</row>
    <row r="256" spans="1:25" x14ac:dyDescent="0.2">
      <c r="A256" s="19"/>
      <c r="B256" s="19"/>
      <c r="C256" s="19"/>
      <c r="D256" s="19"/>
      <c r="E256" s="19"/>
      <c r="F256" s="19"/>
      <c r="G256" s="19"/>
      <c r="H256" s="19"/>
      <c r="I256" s="19"/>
      <c r="J256" s="33"/>
      <c r="K256" s="33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</row>
    <row r="257" spans="1:25" x14ac:dyDescent="0.2">
      <c r="A257" s="19"/>
      <c r="B257" s="19"/>
      <c r="C257" s="19"/>
      <c r="D257" s="19"/>
      <c r="E257" s="19"/>
      <c r="F257" s="19"/>
      <c r="G257" s="19"/>
      <c r="H257" s="19"/>
      <c r="I257" s="19"/>
      <c r="J257" s="33"/>
      <c r="K257" s="33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</row>
    <row r="258" spans="1:25" x14ac:dyDescent="0.2">
      <c r="A258" s="19"/>
      <c r="B258" s="19"/>
      <c r="C258" s="19"/>
      <c r="D258" s="19"/>
      <c r="E258" s="19"/>
      <c r="F258" s="19"/>
      <c r="G258" s="19"/>
      <c r="H258" s="19"/>
      <c r="I258" s="19"/>
      <c r="J258" s="33"/>
      <c r="K258" s="33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</row>
    <row r="259" spans="1:25" x14ac:dyDescent="0.2">
      <c r="A259" s="19"/>
      <c r="B259" s="19"/>
      <c r="C259" s="19"/>
      <c r="D259" s="19"/>
      <c r="E259" s="19"/>
      <c r="F259" s="19"/>
      <c r="G259" s="19"/>
      <c r="H259" s="19"/>
      <c r="I259" s="19"/>
      <c r="J259" s="33"/>
      <c r="K259" s="33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</row>
    <row r="260" spans="1:25" x14ac:dyDescent="0.2">
      <c r="A260" s="19"/>
      <c r="B260" s="19"/>
      <c r="C260" s="19"/>
      <c r="D260" s="19"/>
      <c r="E260" s="19"/>
      <c r="F260" s="19"/>
      <c r="G260" s="19"/>
      <c r="H260" s="19"/>
      <c r="I260" s="19"/>
      <c r="J260" s="33"/>
      <c r="K260" s="33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</row>
    <row r="261" spans="1:25" x14ac:dyDescent="0.2">
      <c r="A261" s="19"/>
      <c r="B261" s="19"/>
      <c r="C261" s="19"/>
      <c r="D261" s="19"/>
      <c r="E261" s="19"/>
      <c r="F261" s="19"/>
      <c r="G261" s="19"/>
      <c r="H261" s="19"/>
      <c r="I261" s="19"/>
      <c r="J261" s="33"/>
      <c r="K261" s="33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</row>
    <row r="262" spans="1:25" x14ac:dyDescent="0.2">
      <c r="A262" s="19"/>
      <c r="B262" s="19"/>
      <c r="C262" s="19"/>
      <c r="D262" s="19"/>
      <c r="E262" s="19"/>
      <c r="F262" s="19"/>
      <c r="G262" s="19"/>
      <c r="H262" s="19"/>
      <c r="I262" s="19"/>
      <c r="J262" s="33"/>
      <c r="K262" s="33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</row>
    <row r="263" spans="1:25" x14ac:dyDescent="0.2">
      <c r="A263" s="19"/>
      <c r="B263" s="19"/>
      <c r="C263" s="19"/>
      <c r="D263" s="19"/>
      <c r="E263" s="19"/>
      <c r="F263" s="19"/>
      <c r="G263" s="19"/>
      <c r="H263" s="19"/>
      <c r="I263" s="19"/>
      <c r="J263" s="33"/>
      <c r="K263" s="33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</row>
    <row r="264" spans="1:25" x14ac:dyDescent="0.2">
      <c r="A264" s="19"/>
      <c r="B264" s="19"/>
      <c r="C264" s="19"/>
      <c r="D264" s="19"/>
      <c r="E264" s="19"/>
      <c r="F264" s="19"/>
      <c r="G264" s="19"/>
      <c r="H264" s="19"/>
      <c r="I264" s="19"/>
      <c r="J264" s="33"/>
      <c r="K264" s="33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</row>
    <row r="265" spans="1:25" x14ac:dyDescent="0.2">
      <c r="A265" s="19"/>
      <c r="B265" s="19"/>
      <c r="C265" s="19"/>
      <c r="D265" s="19"/>
      <c r="E265" s="19"/>
      <c r="F265" s="19"/>
      <c r="G265" s="19"/>
      <c r="H265" s="19"/>
      <c r="I265" s="19"/>
      <c r="J265" s="33"/>
      <c r="K265" s="33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</row>
    <row r="266" spans="1:25" x14ac:dyDescent="0.2">
      <c r="A266" s="19"/>
      <c r="B266" s="19"/>
      <c r="C266" s="19"/>
      <c r="D266" s="19"/>
      <c r="E266" s="19"/>
      <c r="F266" s="19"/>
      <c r="G266" s="19"/>
      <c r="H266" s="19"/>
      <c r="I266" s="19"/>
      <c r="J266" s="33"/>
      <c r="K266" s="33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</row>
    <row r="267" spans="1:25" x14ac:dyDescent="0.2">
      <c r="A267" s="19"/>
      <c r="B267" s="19"/>
      <c r="C267" s="19"/>
      <c r="D267" s="19"/>
      <c r="E267" s="19"/>
      <c r="F267" s="19"/>
      <c r="G267" s="19"/>
      <c r="H267" s="19"/>
      <c r="I267" s="19"/>
      <c r="J267" s="33"/>
      <c r="K267" s="33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</row>
    <row r="268" spans="1:25" x14ac:dyDescent="0.2">
      <c r="A268" s="19"/>
      <c r="B268" s="19"/>
      <c r="C268" s="19"/>
      <c r="D268" s="19"/>
      <c r="E268" s="19"/>
      <c r="F268" s="19"/>
      <c r="G268" s="19"/>
      <c r="H268" s="19"/>
      <c r="I268" s="19"/>
      <c r="J268" s="33"/>
      <c r="K268" s="33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</row>
    <row r="269" spans="1:25" x14ac:dyDescent="0.2">
      <c r="A269" s="19"/>
      <c r="B269" s="19"/>
      <c r="C269" s="19"/>
      <c r="D269" s="19"/>
      <c r="E269" s="19"/>
      <c r="F269" s="19"/>
      <c r="G269" s="19"/>
      <c r="H269" s="19"/>
      <c r="I269" s="19"/>
      <c r="J269" s="33"/>
      <c r="K269" s="33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</row>
    <row r="270" spans="1:25" x14ac:dyDescent="0.2">
      <c r="A270" s="19"/>
      <c r="B270" s="19"/>
      <c r="C270" s="19"/>
      <c r="D270" s="19"/>
      <c r="E270" s="19"/>
      <c r="F270" s="19"/>
      <c r="G270" s="19"/>
      <c r="H270" s="19"/>
      <c r="I270" s="19"/>
      <c r="J270" s="33"/>
      <c r="K270" s="33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</row>
    <row r="271" spans="1:25" x14ac:dyDescent="0.2">
      <c r="A271" s="19"/>
      <c r="B271" s="19"/>
      <c r="C271" s="19"/>
      <c r="D271" s="19"/>
      <c r="E271" s="19"/>
      <c r="F271" s="19"/>
      <c r="G271" s="19"/>
      <c r="H271" s="19"/>
      <c r="I271" s="19"/>
      <c r="J271" s="33"/>
      <c r="K271" s="33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</row>
    <row r="272" spans="1:25" x14ac:dyDescent="0.2">
      <c r="A272" s="19"/>
      <c r="B272" s="19"/>
      <c r="C272" s="19"/>
      <c r="D272" s="19"/>
      <c r="E272" s="19"/>
      <c r="F272" s="19"/>
      <c r="G272" s="19"/>
      <c r="H272" s="19"/>
      <c r="I272" s="19"/>
      <c r="J272" s="33"/>
      <c r="K272" s="33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</row>
    <row r="273" spans="1:25" x14ac:dyDescent="0.2">
      <c r="A273" s="19"/>
      <c r="B273" s="19"/>
      <c r="C273" s="19"/>
      <c r="D273" s="19"/>
      <c r="E273" s="19"/>
      <c r="F273" s="19"/>
      <c r="G273" s="19"/>
      <c r="H273" s="19"/>
      <c r="I273" s="19"/>
      <c r="J273" s="33"/>
      <c r="K273" s="33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</row>
    <row r="274" spans="1:25" x14ac:dyDescent="0.2">
      <c r="A274" s="19"/>
      <c r="B274" s="19"/>
      <c r="C274" s="19"/>
      <c r="D274" s="19"/>
      <c r="E274" s="19"/>
      <c r="F274" s="19"/>
      <c r="G274" s="19"/>
      <c r="H274" s="19"/>
      <c r="I274" s="19"/>
      <c r="J274" s="33"/>
      <c r="K274" s="33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</row>
    <row r="275" spans="1:25" x14ac:dyDescent="0.2">
      <c r="A275" s="19"/>
      <c r="B275" s="19"/>
      <c r="C275" s="19"/>
      <c r="D275" s="19"/>
      <c r="E275" s="19"/>
      <c r="F275" s="19"/>
      <c r="G275" s="19"/>
      <c r="H275" s="19"/>
      <c r="I275" s="19"/>
      <c r="J275" s="33"/>
      <c r="K275" s="33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</row>
    <row r="276" spans="1:25" x14ac:dyDescent="0.2">
      <c r="A276" s="19"/>
      <c r="B276" s="19"/>
      <c r="C276" s="19"/>
      <c r="D276" s="19"/>
      <c r="E276" s="19"/>
      <c r="F276" s="19"/>
      <c r="G276" s="19"/>
      <c r="H276" s="19"/>
      <c r="I276" s="19"/>
      <c r="J276" s="33"/>
      <c r="K276" s="33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</row>
    <row r="277" spans="1:25" x14ac:dyDescent="0.2">
      <c r="A277" s="19"/>
      <c r="B277" s="19"/>
      <c r="C277" s="19"/>
      <c r="D277" s="19"/>
      <c r="E277" s="19"/>
      <c r="F277" s="19"/>
      <c r="G277" s="19"/>
      <c r="H277" s="19"/>
      <c r="I277" s="19"/>
      <c r="J277" s="33"/>
      <c r="K277" s="33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</row>
    <row r="278" spans="1:25" x14ac:dyDescent="0.2">
      <c r="A278" s="19"/>
      <c r="B278" s="19"/>
      <c r="C278" s="19"/>
      <c r="D278" s="19"/>
      <c r="E278" s="19"/>
      <c r="F278" s="19"/>
      <c r="G278" s="19"/>
      <c r="H278" s="19"/>
      <c r="I278" s="19"/>
      <c r="J278" s="33"/>
      <c r="K278" s="33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</row>
    <row r="279" spans="1:25" x14ac:dyDescent="0.2">
      <c r="A279" s="19"/>
      <c r="B279" s="19"/>
      <c r="C279" s="19"/>
      <c r="D279" s="19"/>
      <c r="E279" s="19"/>
      <c r="F279" s="19"/>
      <c r="G279" s="19"/>
      <c r="H279" s="19"/>
      <c r="I279" s="19"/>
      <c r="J279" s="33"/>
      <c r="K279" s="33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</row>
    <row r="280" spans="1:25" x14ac:dyDescent="0.2">
      <c r="A280" s="19"/>
      <c r="B280" s="19"/>
      <c r="C280" s="19"/>
      <c r="D280" s="19"/>
      <c r="E280" s="19"/>
      <c r="F280" s="19"/>
      <c r="G280" s="19"/>
      <c r="H280" s="19"/>
      <c r="I280" s="19"/>
      <c r="J280" s="33"/>
      <c r="K280" s="33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</row>
    <row r="281" spans="1:25" x14ac:dyDescent="0.2">
      <c r="A281" s="19"/>
      <c r="B281" s="19"/>
      <c r="C281" s="19"/>
      <c r="D281" s="19"/>
      <c r="E281" s="19"/>
      <c r="F281" s="19"/>
      <c r="G281" s="19"/>
      <c r="H281" s="19"/>
      <c r="I281" s="19"/>
      <c r="J281" s="33"/>
      <c r="K281" s="33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</row>
    <row r="282" spans="1:25" x14ac:dyDescent="0.2">
      <c r="A282" s="19"/>
      <c r="B282" s="19"/>
      <c r="C282" s="19"/>
      <c r="D282" s="19"/>
      <c r="E282" s="19"/>
      <c r="F282" s="19"/>
      <c r="G282" s="19"/>
      <c r="H282" s="19"/>
      <c r="I282" s="19"/>
      <c r="J282" s="33"/>
      <c r="K282" s="33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</row>
    <row r="283" spans="1:25" x14ac:dyDescent="0.2">
      <c r="A283" s="19"/>
      <c r="B283" s="19"/>
      <c r="C283" s="19"/>
      <c r="D283" s="19"/>
      <c r="E283" s="19"/>
      <c r="F283" s="19"/>
      <c r="G283" s="19"/>
      <c r="H283" s="19"/>
      <c r="I283" s="19"/>
      <c r="J283" s="33"/>
      <c r="K283" s="33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</row>
    <row r="284" spans="1:25" x14ac:dyDescent="0.2">
      <c r="A284" s="19"/>
      <c r="B284" s="19"/>
      <c r="C284" s="19"/>
      <c r="D284" s="19"/>
      <c r="E284" s="19"/>
      <c r="F284" s="19"/>
      <c r="G284" s="19"/>
      <c r="H284" s="19"/>
      <c r="I284" s="19"/>
      <c r="J284" s="33"/>
      <c r="K284" s="33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</row>
    <row r="285" spans="1:25" x14ac:dyDescent="0.2">
      <c r="A285" s="19"/>
      <c r="B285" s="19"/>
      <c r="C285" s="19"/>
      <c r="D285" s="19"/>
      <c r="E285" s="19"/>
      <c r="F285" s="19"/>
      <c r="G285" s="19"/>
      <c r="H285" s="19"/>
      <c r="I285" s="19"/>
      <c r="J285" s="33"/>
      <c r="K285" s="33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</row>
    <row r="286" spans="1:25" x14ac:dyDescent="0.2">
      <c r="A286" s="19"/>
      <c r="B286" s="19"/>
      <c r="C286" s="19"/>
      <c r="D286" s="19"/>
      <c r="E286" s="19"/>
      <c r="F286" s="19"/>
      <c r="G286" s="19"/>
      <c r="H286" s="19"/>
      <c r="I286" s="19"/>
      <c r="J286" s="33"/>
      <c r="K286" s="33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</row>
    <row r="287" spans="1:25" x14ac:dyDescent="0.2">
      <c r="A287" s="19"/>
      <c r="B287" s="19"/>
      <c r="C287" s="19"/>
      <c r="D287" s="19"/>
      <c r="E287" s="19"/>
      <c r="F287" s="19"/>
      <c r="G287" s="19"/>
      <c r="H287" s="19"/>
      <c r="I287" s="19"/>
      <c r="J287" s="33"/>
      <c r="K287" s="33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</row>
    <row r="288" spans="1:25" x14ac:dyDescent="0.2">
      <c r="A288" s="19"/>
      <c r="B288" s="19"/>
      <c r="C288" s="19"/>
      <c r="D288" s="19"/>
      <c r="E288" s="19"/>
      <c r="F288" s="19"/>
      <c r="G288" s="19"/>
      <c r="H288" s="19"/>
      <c r="I288" s="19"/>
      <c r="J288" s="33"/>
      <c r="K288" s="33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</row>
    <row r="289" spans="1:25" x14ac:dyDescent="0.2">
      <c r="A289" s="19"/>
      <c r="B289" s="19"/>
      <c r="C289" s="19"/>
      <c r="D289" s="19"/>
      <c r="E289" s="19"/>
      <c r="F289" s="19"/>
      <c r="G289" s="19"/>
      <c r="H289" s="19"/>
      <c r="I289" s="19"/>
      <c r="J289" s="33"/>
      <c r="K289" s="33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</row>
    <row r="290" spans="1:25" x14ac:dyDescent="0.2">
      <c r="A290" s="19"/>
      <c r="B290" s="19"/>
      <c r="C290" s="19"/>
      <c r="D290" s="19"/>
      <c r="E290" s="19"/>
      <c r="F290" s="19"/>
      <c r="G290" s="19"/>
      <c r="H290" s="19"/>
      <c r="I290" s="19"/>
      <c r="J290" s="33"/>
      <c r="K290" s="33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</row>
    <row r="291" spans="1:25" x14ac:dyDescent="0.2">
      <c r="A291" s="19"/>
      <c r="B291" s="19"/>
      <c r="C291" s="19"/>
      <c r="D291" s="19"/>
      <c r="E291" s="19"/>
      <c r="F291" s="19"/>
      <c r="G291" s="19"/>
      <c r="H291" s="19"/>
      <c r="I291" s="19"/>
      <c r="J291" s="33"/>
      <c r="K291" s="33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</row>
    <row r="292" spans="1:25" x14ac:dyDescent="0.2">
      <c r="A292" s="19"/>
      <c r="B292" s="19"/>
      <c r="C292" s="19"/>
      <c r="D292" s="19"/>
      <c r="E292" s="19"/>
      <c r="F292" s="19"/>
      <c r="G292" s="19"/>
      <c r="H292" s="19"/>
      <c r="I292" s="19"/>
      <c r="J292" s="33"/>
      <c r="K292" s="33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</row>
    <row r="293" spans="1:25" x14ac:dyDescent="0.2">
      <c r="A293" s="19"/>
      <c r="B293" s="19"/>
      <c r="C293" s="19"/>
      <c r="D293" s="19"/>
      <c r="E293" s="19"/>
      <c r="F293" s="19"/>
      <c r="G293" s="19"/>
      <c r="H293" s="19"/>
      <c r="I293" s="19"/>
      <c r="J293" s="33"/>
      <c r="K293" s="33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</row>
    <row r="294" spans="1:25" x14ac:dyDescent="0.2">
      <c r="A294" s="19"/>
      <c r="B294" s="19"/>
      <c r="C294" s="19"/>
      <c r="D294" s="19"/>
      <c r="E294" s="19"/>
      <c r="F294" s="19"/>
      <c r="G294" s="19"/>
      <c r="H294" s="19"/>
      <c r="I294" s="19"/>
      <c r="J294" s="33"/>
      <c r="K294" s="33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</row>
    <row r="295" spans="1:25" x14ac:dyDescent="0.2">
      <c r="A295" s="19"/>
      <c r="B295" s="19"/>
      <c r="C295" s="19"/>
      <c r="D295" s="19"/>
      <c r="E295" s="19"/>
      <c r="F295" s="19"/>
      <c r="G295" s="19"/>
      <c r="H295" s="19"/>
      <c r="I295" s="19"/>
      <c r="J295" s="33"/>
      <c r="K295" s="33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</row>
    <row r="296" spans="1:25" x14ac:dyDescent="0.2">
      <c r="A296" s="19"/>
      <c r="B296" s="19"/>
      <c r="C296" s="19"/>
      <c r="D296" s="19"/>
      <c r="E296" s="19"/>
      <c r="F296" s="19"/>
      <c r="G296" s="19"/>
      <c r="H296" s="19"/>
      <c r="I296" s="19"/>
      <c r="J296" s="33"/>
      <c r="K296" s="33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</row>
    <row r="297" spans="1:25" x14ac:dyDescent="0.2">
      <c r="A297" s="19"/>
      <c r="B297" s="19"/>
      <c r="C297" s="19"/>
      <c r="D297" s="19"/>
      <c r="E297" s="19"/>
      <c r="F297" s="19"/>
      <c r="G297" s="19"/>
      <c r="H297" s="19"/>
      <c r="I297" s="19"/>
      <c r="J297" s="33"/>
      <c r="K297" s="33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</row>
    <row r="298" spans="1:25" x14ac:dyDescent="0.2">
      <c r="A298" s="19"/>
      <c r="B298" s="19"/>
      <c r="C298" s="19"/>
      <c r="D298" s="19"/>
      <c r="E298" s="19"/>
      <c r="F298" s="19"/>
      <c r="G298" s="19"/>
      <c r="H298" s="19"/>
      <c r="I298" s="19"/>
      <c r="J298" s="33"/>
      <c r="K298" s="33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</row>
    <row r="299" spans="1:25" x14ac:dyDescent="0.2">
      <c r="A299" s="19"/>
      <c r="B299" s="19"/>
      <c r="C299" s="19"/>
      <c r="D299" s="19"/>
      <c r="E299" s="19"/>
      <c r="F299" s="19"/>
      <c r="G299" s="19"/>
      <c r="H299" s="19"/>
      <c r="I299" s="19"/>
      <c r="J299" s="33"/>
      <c r="K299" s="33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</row>
    <row r="300" spans="1:25" x14ac:dyDescent="0.2">
      <c r="A300" s="19"/>
      <c r="B300" s="19"/>
      <c r="C300" s="19"/>
      <c r="D300" s="19"/>
      <c r="E300" s="19"/>
      <c r="F300" s="19"/>
      <c r="G300" s="19"/>
      <c r="H300" s="19"/>
      <c r="I300" s="19"/>
      <c r="J300" s="33"/>
      <c r="K300" s="33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</row>
    <row r="301" spans="1:25" x14ac:dyDescent="0.2">
      <c r="A301" s="19"/>
      <c r="B301" s="19"/>
      <c r="C301" s="19"/>
      <c r="D301" s="19"/>
      <c r="E301" s="19"/>
      <c r="F301" s="19"/>
      <c r="G301" s="19"/>
      <c r="H301" s="19"/>
      <c r="I301" s="19"/>
      <c r="J301" s="33"/>
      <c r="K301" s="33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</row>
    <row r="302" spans="1:25" x14ac:dyDescent="0.2">
      <c r="A302" s="19"/>
      <c r="B302" s="19"/>
      <c r="C302" s="19"/>
      <c r="D302" s="19"/>
      <c r="E302" s="19"/>
      <c r="F302" s="19"/>
      <c r="G302" s="19"/>
      <c r="H302" s="19"/>
      <c r="I302" s="19"/>
      <c r="J302" s="33"/>
      <c r="K302" s="33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</row>
    <row r="303" spans="1:25" x14ac:dyDescent="0.2">
      <c r="A303" s="19"/>
      <c r="B303" s="19"/>
      <c r="C303" s="19"/>
      <c r="D303" s="19"/>
      <c r="E303" s="19"/>
      <c r="F303" s="19"/>
      <c r="G303" s="19"/>
      <c r="H303" s="19"/>
      <c r="I303" s="19"/>
      <c r="J303" s="33"/>
      <c r="K303" s="33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</row>
    <row r="304" spans="1:25" x14ac:dyDescent="0.2">
      <c r="A304" s="19"/>
      <c r="B304" s="19"/>
      <c r="C304" s="19"/>
      <c r="D304" s="19"/>
      <c r="E304" s="19"/>
      <c r="F304" s="19"/>
      <c r="G304" s="19"/>
      <c r="H304" s="19"/>
      <c r="I304" s="19"/>
      <c r="J304" s="33"/>
      <c r="K304" s="33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</row>
    <row r="305" spans="1:25" x14ac:dyDescent="0.2">
      <c r="A305" s="19"/>
      <c r="B305" s="19"/>
      <c r="C305" s="19"/>
      <c r="D305" s="19"/>
      <c r="E305" s="19"/>
      <c r="F305" s="19"/>
      <c r="G305" s="19"/>
      <c r="H305" s="19"/>
      <c r="I305" s="19"/>
      <c r="J305" s="33"/>
      <c r="K305" s="33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</row>
    <row r="306" spans="1:25" x14ac:dyDescent="0.2">
      <c r="A306" s="19"/>
      <c r="B306" s="19"/>
      <c r="C306" s="19"/>
      <c r="D306" s="19"/>
      <c r="E306" s="19"/>
      <c r="F306" s="19"/>
      <c r="G306" s="19"/>
      <c r="H306" s="19"/>
      <c r="I306" s="19"/>
      <c r="J306" s="33"/>
      <c r="K306" s="33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</row>
    <row r="307" spans="1:25" x14ac:dyDescent="0.2">
      <c r="A307" s="19"/>
      <c r="B307" s="19"/>
      <c r="C307" s="19"/>
      <c r="D307" s="19"/>
      <c r="E307" s="19"/>
      <c r="F307" s="19"/>
      <c r="G307" s="19"/>
      <c r="H307" s="19"/>
      <c r="I307" s="19"/>
      <c r="J307" s="33"/>
      <c r="K307" s="33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</row>
    <row r="308" spans="1:25" x14ac:dyDescent="0.2">
      <c r="A308" s="19"/>
      <c r="B308" s="19"/>
      <c r="C308" s="19"/>
      <c r="D308" s="19"/>
      <c r="E308" s="19"/>
      <c r="F308" s="19"/>
      <c r="G308" s="19"/>
      <c r="H308" s="19"/>
      <c r="I308" s="19"/>
      <c r="J308" s="33"/>
      <c r="K308" s="33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</row>
    <row r="309" spans="1:25" x14ac:dyDescent="0.2">
      <c r="A309" s="19"/>
      <c r="B309" s="19"/>
      <c r="C309" s="19"/>
      <c r="D309" s="19"/>
      <c r="E309" s="19"/>
      <c r="F309" s="19"/>
      <c r="G309" s="19"/>
      <c r="H309" s="19"/>
      <c r="I309" s="19"/>
      <c r="J309" s="33"/>
      <c r="K309" s="33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</row>
    <row r="310" spans="1:25" x14ac:dyDescent="0.2">
      <c r="A310" s="19"/>
      <c r="B310" s="19"/>
      <c r="C310" s="19"/>
      <c r="D310" s="19"/>
      <c r="E310" s="19"/>
      <c r="F310" s="19"/>
      <c r="G310" s="19"/>
      <c r="H310" s="19"/>
      <c r="I310" s="19"/>
      <c r="J310" s="33"/>
      <c r="K310" s="33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</row>
    <row r="311" spans="1:25" x14ac:dyDescent="0.2">
      <c r="A311" s="19"/>
      <c r="B311" s="19"/>
      <c r="C311" s="19"/>
      <c r="D311" s="19"/>
      <c r="E311" s="19"/>
      <c r="F311" s="19"/>
      <c r="G311" s="19"/>
      <c r="H311" s="19"/>
      <c r="I311" s="19"/>
      <c r="J311" s="33"/>
      <c r="K311" s="33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</row>
    <row r="312" spans="1:25" x14ac:dyDescent="0.2">
      <c r="A312" s="19"/>
      <c r="B312" s="19"/>
      <c r="C312" s="19"/>
      <c r="D312" s="19"/>
      <c r="E312" s="19"/>
      <c r="F312" s="19"/>
      <c r="G312" s="19"/>
      <c r="H312" s="19"/>
      <c r="I312" s="19"/>
      <c r="J312" s="33"/>
      <c r="K312" s="33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</row>
    <row r="313" spans="1:25" x14ac:dyDescent="0.2">
      <c r="A313" s="19"/>
      <c r="B313" s="19"/>
      <c r="C313" s="19"/>
      <c r="D313" s="19"/>
      <c r="E313" s="19"/>
      <c r="F313" s="19"/>
      <c r="G313" s="19"/>
      <c r="H313" s="19"/>
      <c r="I313" s="19"/>
      <c r="J313" s="33"/>
      <c r="K313" s="33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</row>
    <row r="314" spans="1:25" x14ac:dyDescent="0.2">
      <c r="A314" s="19"/>
      <c r="B314" s="19"/>
      <c r="C314" s="19"/>
      <c r="D314" s="19"/>
      <c r="E314" s="19"/>
      <c r="F314" s="19"/>
      <c r="G314" s="19"/>
      <c r="H314" s="19"/>
      <c r="I314" s="19"/>
      <c r="J314" s="33"/>
      <c r="K314" s="33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</row>
    <row r="315" spans="1:25" x14ac:dyDescent="0.2">
      <c r="A315" s="19"/>
      <c r="B315" s="19"/>
      <c r="C315" s="19"/>
      <c r="D315" s="19"/>
      <c r="E315" s="19"/>
      <c r="F315" s="19"/>
      <c r="G315" s="19"/>
      <c r="H315" s="19"/>
      <c r="I315" s="19"/>
      <c r="J315" s="33"/>
      <c r="K315" s="33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</row>
    <row r="316" spans="1:25" x14ac:dyDescent="0.2">
      <c r="A316" s="19"/>
      <c r="B316" s="19"/>
      <c r="C316" s="19"/>
      <c r="D316" s="19"/>
      <c r="E316" s="19"/>
      <c r="F316" s="19"/>
      <c r="G316" s="19"/>
      <c r="H316" s="19"/>
      <c r="I316" s="19"/>
      <c r="J316" s="33"/>
      <c r="K316" s="33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</row>
    <row r="317" spans="1:25" x14ac:dyDescent="0.2">
      <c r="A317" s="19"/>
      <c r="B317" s="19"/>
      <c r="C317" s="19"/>
      <c r="D317" s="19"/>
      <c r="E317" s="19"/>
      <c r="F317" s="19"/>
      <c r="G317" s="19"/>
      <c r="H317" s="19"/>
      <c r="I317" s="19"/>
      <c r="J317" s="33"/>
      <c r="K317" s="33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</row>
    <row r="318" spans="1:25" x14ac:dyDescent="0.2">
      <c r="A318" s="19"/>
      <c r="B318" s="19"/>
      <c r="C318" s="19"/>
      <c r="D318" s="19"/>
      <c r="E318" s="19"/>
      <c r="F318" s="19"/>
      <c r="G318" s="19"/>
      <c r="H318" s="19"/>
      <c r="I318" s="19"/>
      <c r="J318" s="33"/>
      <c r="K318" s="33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</row>
    <row r="319" spans="1:25" x14ac:dyDescent="0.2">
      <c r="A319" s="19"/>
      <c r="B319" s="19"/>
      <c r="C319" s="19"/>
      <c r="D319" s="19"/>
      <c r="E319" s="19"/>
      <c r="F319" s="19"/>
      <c r="G319" s="19"/>
      <c r="H319" s="19"/>
      <c r="I319" s="19"/>
      <c r="J319" s="33"/>
      <c r="K319" s="33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</row>
    <row r="320" spans="1:25" x14ac:dyDescent="0.2">
      <c r="A320" s="19"/>
      <c r="B320" s="19"/>
      <c r="C320" s="19"/>
      <c r="D320" s="19"/>
      <c r="E320" s="19"/>
      <c r="F320" s="19"/>
      <c r="G320" s="19"/>
      <c r="H320" s="19"/>
      <c r="I320" s="19"/>
      <c r="J320" s="33"/>
      <c r="K320" s="33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</row>
    <row r="321" spans="1:25" x14ac:dyDescent="0.2">
      <c r="A321" s="19"/>
      <c r="B321" s="19"/>
      <c r="C321" s="19"/>
      <c r="D321" s="19"/>
      <c r="E321" s="19"/>
      <c r="F321" s="19"/>
      <c r="G321" s="19"/>
      <c r="H321" s="19"/>
      <c r="I321" s="19"/>
      <c r="J321" s="33"/>
      <c r="K321" s="33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</row>
    <row r="322" spans="1:25" x14ac:dyDescent="0.2">
      <c r="A322" s="19"/>
      <c r="B322" s="19"/>
      <c r="C322" s="19"/>
      <c r="D322" s="19"/>
      <c r="E322" s="19"/>
      <c r="F322" s="19"/>
      <c r="G322" s="19"/>
      <c r="H322" s="19"/>
      <c r="I322" s="19"/>
      <c r="J322" s="33"/>
      <c r="K322" s="33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</row>
  </sheetData>
  <mergeCells count="30">
    <mergeCell ref="A58:X58"/>
    <mergeCell ref="B4:M4"/>
    <mergeCell ref="P4:S4"/>
    <mergeCell ref="L5:L8"/>
    <mergeCell ref="R6:R8"/>
    <mergeCell ref="S6:S8"/>
    <mergeCell ref="T4:U4"/>
    <mergeCell ref="V4:Y4"/>
    <mergeCell ref="N4:O4"/>
    <mergeCell ref="A5:A8"/>
    <mergeCell ref="V6:V8"/>
    <mergeCell ref="W6:W8"/>
    <mergeCell ref="I5:I8"/>
    <mergeCell ref="J5:J8"/>
    <mergeCell ref="B9:H9"/>
    <mergeCell ref="H10:H16"/>
    <mergeCell ref="B5:B8"/>
    <mergeCell ref="C5:C8"/>
    <mergeCell ref="G5:G8"/>
    <mergeCell ref="H5:H8"/>
    <mergeCell ref="X6:X8"/>
    <mergeCell ref="Y6:Y8"/>
    <mergeCell ref="M5:M8"/>
    <mergeCell ref="P5:S5"/>
    <mergeCell ref="N5:N8"/>
    <mergeCell ref="O5:O8"/>
    <mergeCell ref="T5:T8"/>
    <mergeCell ref="V5:Y5"/>
    <mergeCell ref="P6:P8"/>
    <mergeCell ref="Q6:Q8"/>
  </mergeCells>
  <phoneticPr fontId="0" type="noConversion"/>
  <printOptions horizontalCentered="1"/>
  <pageMargins left="0.55000000000000004" right="0.3" top="0.5" bottom="0.25" header="0.5" footer="0.5"/>
  <pageSetup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AJ325"/>
  <sheetViews>
    <sheetView tabSelected="1" zoomScaleNormal="100" workbookViewId="0">
      <pane ySplit="1" topLeftCell="A10" activePane="bottomLeft" state="frozen"/>
      <selection activeCell="Y1" sqref="Y1"/>
      <selection pane="bottomLeft" activeCell="A52" sqref="A52"/>
    </sheetView>
  </sheetViews>
  <sheetFormatPr defaultRowHeight="12.75" x14ac:dyDescent="0.2"/>
  <cols>
    <col min="1" max="1" width="7.7109375" customWidth="1"/>
    <col min="2" max="2" width="8.140625" customWidth="1"/>
    <col min="3" max="3" width="8" customWidth="1"/>
    <col min="4" max="4" width="7.42578125" customWidth="1"/>
    <col min="6" max="6" width="7.140625" customWidth="1"/>
    <col min="7" max="7" width="6.85546875" customWidth="1"/>
    <col min="8" max="8" width="8.85546875" customWidth="1"/>
    <col min="9" max="9" width="6.7109375" customWidth="1"/>
    <col min="10" max="10" width="10.7109375" customWidth="1"/>
    <col min="11" max="12" width="9.85546875" customWidth="1"/>
    <col min="13" max="14" width="11.7109375" customWidth="1"/>
    <col min="15" max="15" width="7.5703125" customWidth="1"/>
    <col min="16" max="16" width="7.7109375" bestFit="1" customWidth="1"/>
    <col min="18" max="18" width="7" customWidth="1"/>
    <col min="19" max="19" width="9.85546875" customWidth="1"/>
    <col min="20" max="20" width="8.42578125" customWidth="1"/>
    <col min="22" max="22" width="6.28515625" customWidth="1"/>
    <col min="24" max="24" width="7" customWidth="1"/>
    <col min="25" max="25" width="9.85546875" bestFit="1" customWidth="1"/>
    <col min="26" max="26" width="8.42578125" customWidth="1"/>
  </cols>
  <sheetData>
    <row r="1" spans="1:31" ht="30" x14ac:dyDescent="0.4">
      <c r="A1" s="345" t="s">
        <v>249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7"/>
    </row>
    <row r="2" spans="1:31" ht="23.25" customHeight="1" x14ac:dyDescent="0.4">
      <c r="A2" s="348" t="s">
        <v>186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49"/>
      <c r="Y2" s="349"/>
      <c r="Z2" s="350"/>
    </row>
    <row r="3" spans="1:31" ht="6" customHeight="1" x14ac:dyDescent="0.2">
      <c r="A3" s="24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241"/>
      <c r="R3" s="241"/>
      <c r="S3" s="241"/>
      <c r="T3" s="241"/>
      <c r="U3" s="110"/>
      <c r="V3" s="242"/>
      <c r="W3" s="243"/>
      <c r="X3" s="243"/>
      <c r="Y3" s="243"/>
      <c r="Z3" s="241"/>
    </row>
    <row r="4" spans="1:31" x14ac:dyDescent="0.2">
      <c r="A4" s="483" t="s">
        <v>225</v>
      </c>
      <c r="B4" s="484"/>
      <c r="C4" s="484"/>
      <c r="D4" s="484"/>
      <c r="E4" s="484"/>
      <c r="F4" s="484"/>
      <c r="G4" s="484"/>
      <c r="H4" s="484"/>
      <c r="I4" s="484"/>
      <c r="J4" s="484"/>
      <c r="K4" s="484"/>
      <c r="L4" s="484"/>
      <c r="M4" s="484"/>
      <c r="N4" s="484"/>
      <c r="O4" s="484"/>
      <c r="P4" s="484"/>
      <c r="Q4" s="484"/>
      <c r="R4" s="484"/>
      <c r="S4" s="484"/>
      <c r="T4" s="484"/>
      <c r="U4" s="484"/>
      <c r="V4" s="484"/>
      <c r="W4" s="484"/>
      <c r="X4" s="484"/>
      <c r="Y4" s="484"/>
      <c r="Z4" s="485"/>
    </row>
    <row r="5" spans="1:31" ht="14.25" customHeight="1" x14ac:dyDescent="0.2">
      <c r="A5" s="486"/>
      <c r="B5" s="487"/>
      <c r="C5" s="487"/>
      <c r="D5" s="487"/>
      <c r="E5" s="487"/>
      <c r="F5" s="487"/>
      <c r="G5" s="487"/>
      <c r="H5" s="487"/>
      <c r="I5" s="487"/>
      <c r="J5" s="487"/>
      <c r="K5" s="487"/>
      <c r="L5" s="487"/>
      <c r="M5" s="487"/>
      <c r="N5" s="487"/>
      <c r="O5" s="487"/>
      <c r="P5" s="487"/>
      <c r="Q5" s="487"/>
      <c r="R5" s="487"/>
      <c r="S5" s="487"/>
      <c r="T5" s="487"/>
      <c r="U5" s="487"/>
      <c r="V5" s="487"/>
      <c r="W5" s="487"/>
      <c r="X5" s="487"/>
      <c r="Y5" s="487"/>
      <c r="Z5" s="488"/>
    </row>
    <row r="6" spans="1:31" ht="12.75" customHeight="1" x14ac:dyDescent="0.2">
      <c r="A6" s="27"/>
      <c r="B6" s="473" t="s">
        <v>16</v>
      </c>
      <c r="C6" s="474"/>
      <c r="D6" s="474"/>
      <c r="E6" s="474"/>
      <c r="F6" s="474"/>
      <c r="G6" s="474"/>
      <c r="H6" s="474"/>
      <c r="I6" s="474"/>
      <c r="J6" s="474"/>
      <c r="K6" s="100"/>
      <c r="L6" s="100"/>
      <c r="M6" s="100"/>
      <c r="N6" s="100"/>
      <c r="O6" s="473" t="s">
        <v>214</v>
      </c>
      <c r="P6" s="476"/>
      <c r="Q6" s="466" t="s">
        <v>116</v>
      </c>
      <c r="R6" s="467"/>
      <c r="S6" s="467"/>
      <c r="T6" s="471"/>
      <c r="U6" s="473" t="s">
        <v>48</v>
      </c>
      <c r="V6" s="476"/>
      <c r="W6" s="466" t="s">
        <v>116</v>
      </c>
      <c r="X6" s="467"/>
      <c r="Y6" s="467"/>
      <c r="Z6" s="471"/>
    </row>
    <row r="7" spans="1:31" ht="12.75" customHeight="1" x14ac:dyDescent="0.2">
      <c r="A7" s="461" t="s">
        <v>9</v>
      </c>
      <c r="B7" s="468" t="s">
        <v>17</v>
      </c>
      <c r="C7" s="463" t="s">
        <v>180</v>
      </c>
      <c r="D7" s="463" t="s">
        <v>125</v>
      </c>
      <c r="E7" s="463" t="s">
        <v>18</v>
      </c>
      <c r="F7" s="463" t="s">
        <v>183</v>
      </c>
      <c r="G7" s="463" t="s">
        <v>49</v>
      </c>
      <c r="H7" s="98"/>
      <c r="I7" s="463" t="s">
        <v>184</v>
      </c>
      <c r="J7" s="463" t="s">
        <v>190</v>
      </c>
      <c r="K7" s="463" t="s">
        <v>189</v>
      </c>
      <c r="L7" s="463" t="s">
        <v>74</v>
      </c>
      <c r="M7" s="463" t="s">
        <v>219</v>
      </c>
      <c r="N7" s="463" t="s">
        <v>220</v>
      </c>
      <c r="O7" s="468" t="s">
        <v>213</v>
      </c>
      <c r="P7" s="460" t="s">
        <v>214</v>
      </c>
      <c r="Q7" s="466" t="s">
        <v>47</v>
      </c>
      <c r="R7" s="467"/>
      <c r="S7" s="467"/>
      <c r="T7" s="471"/>
      <c r="U7" s="468" t="s">
        <v>51</v>
      </c>
      <c r="V7" s="59"/>
      <c r="W7" s="466" t="s">
        <v>119</v>
      </c>
      <c r="X7" s="467"/>
      <c r="Y7" s="467"/>
      <c r="Z7" s="471"/>
    </row>
    <row r="8" spans="1:31" ht="15" customHeight="1" x14ac:dyDescent="0.2">
      <c r="A8" s="461"/>
      <c r="B8" s="469"/>
      <c r="C8" s="464"/>
      <c r="D8" s="464"/>
      <c r="E8" s="464"/>
      <c r="F8" s="464"/>
      <c r="G8" s="464"/>
      <c r="H8" s="11"/>
      <c r="I8" s="464"/>
      <c r="J8" s="464"/>
      <c r="K8" s="464"/>
      <c r="L8" s="464"/>
      <c r="M8" s="464"/>
      <c r="N8" s="464"/>
      <c r="O8" s="469"/>
      <c r="P8" s="461"/>
      <c r="Q8" s="468" t="s">
        <v>188</v>
      </c>
      <c r="R8" s="463" t="s">
        <v>120</v>
      </c>
      <c r="S8" s="463" t="s">
        <v>117</v>
      </c>
      <c r="T8" s="460" t="s">
        <v>118</v>
      </c>
      <c r="U8" s="469"/>
      <c r="V8" s="58"/>
      <c r="W8" s="468" t="s">
        <v>188</v>
      </c>
      <c r="X8" s="463" t="s">
        <v>120</v>
      </c>
      <c r="Y8" s="463" t="s">
        <v>117</v>
      </c>
      <c r="Z8" s="460" t="s">
        <v>118</v>
      </c>
    </row>
    <row r="9" spans="1:31" ht="13.5" customHeight="1" x14ac:dyDescent="0.2">
      <c r="A9" s="461"/>
      <c r="B9" s="469"/>
      <c r="C9" s="464"/>
      <c r="D9" s="464"/>
      <c r="E9" s="464"/>
      <c r="F9" s="464"/>
      <c r="G9" s="464"/>
      <c r="H9" s="11" t="s">
        <v>146</v>
      </c>
      <c r="I9" s="464"/>
      <c r="J9" s="464"/>
      <c r="K9" s="464"/>
      <c r="L9" s="464"/>
      <c r="M9" s="464"/>
      <c r="N9" s="464"/>
      <c r="O9" s="469"/>
      <c r="P9" s="461"/>
      <c r="Q9" s="469"/>
      <c r="R9" s="464"/>
      <c r="S9" s="464"/>
      <c r="T9" s="461"/>
      <c r="U9" s="469"/>
      <c r="V9" s="58" t="s">
        <v>52</v>
      </c>
      <c r="W9" s="469"/>
      <c r="X9" s="464"/>
      <c r="Y9" s="464"/>
      <c r="Z9" s="461"/>
    </row>
    <row r="10" spans="1:31" ht="15" customHeight="1" thickBot="1" x14ac:dyDescent="0.25">
      <c r="A10" s="462"/>
      <c r="B10" s="470"/>
      <c r="C10" s="465"/>
      <c r="D10" s="465"/>
      <c r="E10" s="465"/>
      <c r="F10" s="465"/>
      <c r="G10" s="465"/>
      <c r="H10" s="99" t="s">
        <v>147</v>
      </c>
      <c r="I10" s="465"/>
      <c r="J10" s="465"/>
      <c r="K10" s="465"/>
      <c r="L10" s="465"/>
      <c r="M10" s="465"/>
      <c r="N10" s="465"/>
      <c r="O10" s="470"/>
      <c r="P10" s="462"/>
      <c r="Q10" s="470"/>
      <c r="R10" s="465"/>
      <c r="S10" s="465"/>
      <c r="T10" s="462"/>
      <c r="U10" s="470"/>
      <c r="V10" s="55" t="s">
        <v>181</v>
      </c>
      <c r="W10" s="470"/>
      <c r="X10" s="465"/>
      <c r="Y10" s="465"/>
      <c r="Z10" s="462"/>
    </row>
    <row r="11" spans="1:31" x14ac:dyDescent="0.2">
      <c r="A11" s="293">
        <v>2002</v>
      </c>
      <c r="B11" s="360">
        <f>3395.6-53</f>
        <v>3342.6</v>
      </c>
      <c r="C11" s="360">
        <f>683.2-16.6</f>
        <v>666.6</v>
      </c>
      <c r="D11" s="360">
        <v>325.39999999999998</v>
      </c>
      <c r="E11" s="360">
        <f>16.7-4.9</f>
        <v>11.799999999999999</v>
      </c>
      <c r="F11" s="110">
        <f t="shared" ref="F11:F16" si="0">C11-D11-E11</f>
        <v>329.40000000000003</v>
      </c>
      <c r="G11" s="360">
        <v>39</v>
      </c>
      <c r="H11" s="110">
        <v>4.7</v>
      </c>
      <c r="I11" s="110">
        <f>110.6-4.2</f>
        <v>106.39999999999999</v>
      </c>
      <c r="J11" s="110">
        <f t="shared" ref="J11:J16" si="1">F11-G11+H11-I11</f>
        <v>188.70000000000005</v>
      </c>
      <c r="K11" s="108">
        <v>36.9</v>
      </c>
      <c r="L11" s="108">
        <f t="shared" ref="L11:L17" si="2">+J11+K11</f>
        <v>225.60000000000005</v>
      </c>
      <c r="M11" s="108"/>
      <c r="N11" s="108">
        <f t="shared" ref="N11:N17" si="3">+L11-M11</f>
        <v>225.60000000000005</v>
      </c>
      <c r="O11" s="107">
        <f>118.9+9.6</f>
        <v>128.5</v>
      </c>
      <c r="P11" s="108">
        <f t="shared" ref="P11:P16" si="4">F11+O11</f>
        <v>457.90000000000003</v>
      </c>
      <c r="Q11" s="112">
        <f t="shared" ref="Q11:Q18" si="5">(+J11-M11)/U11</f>
        <v>0.94444444444444464</v>
      </c>
      <c r="R11" s="94">
        <f>+'Cash Flow'!O45/'Income - Continuing Ops'!U11</f>
        <v>2.2817817817817816</v>
      </c>
      <c r="S11" s="94">
        <v>0.5</v>
      </c>
      <c r="T11" s="113">
        <v>22.44</v>
      </c>
      <c r="U11" s="108">
        <v>199.8</v>
      </c>
      <c r="V11" s="114"/>
      <c r="W11" s="115">
        <f t="shared" ref="W11:W16" si="6">Q11</f>
        <v>0.94444444444444464</v>
      </c>
      <c r="X11" s="95">
        <f t="shared" ref="X11:Y16" si="7">+R11</f>
        <v>2.2817817817817816</v>
      </c>
      <c r="Y11" s="95">
        <f t="shared" si="7"/>
        <v>0.5</v>
      </c>
      <c r="Z11" s="113">
        <f t="shared" ref="Z11:Z16" si="8">T11</f>
        <v>22.44</v>
      </c>
    </row>
    <row r="12" spans="1:31" x14ac:dyDescent="0.2">
      <c r="A12" s="77">
        <v>2003</v>
      </c>
      <c r="B12" s="360">
        <v>3468.3</v>
      </c>
      <c r="C12" s="360">
        <v>641</v>
      </c>
      <c r="D12" s="360">
        <v>340.1</v>
      </c>
      <c r="E12" s="360">
        <v>5.3</v>
      </c>
      <c r="F12" s="110">
        <f t="shared" si="0"/>
        <v>295.59999999999997</v>
      </c>
      <c r="G12" s="360">
        <v>43.8</v>
      </c>
      <c r="H12" s="110">
        <v>6.4</v>
      </c>
      <c r="I12" s="110">
        <v>87.9</v>
      </c>
      <c r="J12" s="110">
        <f t="shared" si="1"/>
        <v>170.29999999999993</v>
      </c>
      <c r="K12" s="110">
        <v>35.6</v>
      </c>
      <c r="L12" s="110">
        <f t="shared" si="2"/>
        <v>205.89999999999992</v>
      </c>
      <c r="M12" s="110"/>
      <c r="N12" s="110">
        <f t="shared" si="3"/>
        <v>205.89999999999992</v>
      </c>
      <c r="O12" s="374">
        <f>123.4+7.9</f>
        <v>131.30000000000001</v>
      </c>
      <c r="P12" s="110">
        <f t="shared" si="4"/>
        <v>426.9</v>
      </c>
      <c r="Q12" s="361">
        <f t="shared" si="5"/>
        <v>0.86446700507614171</v>
      </c>
      <c r="R12" s="241">
        <f>+'Cash Flow'!O46/'Income - Continuing Ops'!U12</f>
        <v>2.0065989847715735</v>
      </c>
      <c r="S12" s="241">
        <v>0.54</v>
      </c>
      <c r="T12" s="362">
        <v>21.63</v>
      </c>
      <c r="U12" s="110">
        <v>197</v>
      </c>
      <c r="V12" s="242"/>
      <c r="W12" s="363">
        <f t="shared" si="6"/>
        <v>0.86446700507614171</v>
      </c>
      <c r="X12" s="243">
        <f t="shared" si="7"/>
        <v>2.0065989847715735</v>
      </c>
      <c r="Y12" s="243">
        <f t="shared" si="7"/>
        <v>0.54</v>
      </c>
      <c r="Z12" s="362">
        <f t="shared" si="8"/>
        <v>21.63</v>
      </c>
      <c r="AA12" s="2"/>
      <c r="AB12" s="2"/>
      <c r="AC12" s="2"/>
      <c r="AD12" s="2"/>
      <c r="AE12" s="2"/>
    </row>
    <row r="13" spans="1:31" x14ac:dyDescent="0.2">
      <c r="A13" s="77">
        <v>2004</v>
      </c>
      <c r="B13" s="366">
        <v>4055.1</v>
      </c>
      <c r="C13" s="366">
        <v>761.3</v>
      </c>
      <c r="D13" s="366">
        <v>386.7</v>
      </c>
      <c r="E13" s="366">
        <f>-7.2-1.9</f>
        <v>-9.1</v>
      </c>
      <c r="F13" s="110">
        <f t="shared" si="0"/>
        <v>383.7</v>
      </c>
      <c r="G13" s="366">
        <v>45.6</v>
      </c>
      <c r="H13" s="110">
        <v>6.8</v>
      </c>
      <c r="I13" s="110">
        <v>107.7</v>
      </c>
      <c r="J13" s="110">
        <f t="shared" si="1"/>
        <v>237.2</v>
      </c>
      <c r="K13" s="110">
        <v>50.1</v>
      </c>
      <c r="L13" s="110">
        <f t="shared" si="2"/>
        <v>287.3</v>
      </c>
      <c r="M13" s="110">
        <v>1.9</v>
      </c>
      <c r="N13" s="110">
        <f t="shared" si="3"/>
        <v>285.40000000000003</v>
      </c>
      <c r="O13" s="374">
        <f>131.3+8.9</f>
        <v>140.20000000000002</v>
      </c>
      <c r="P13" s="110">
        <f t="shared" si="4"/>
        <v>523.9</v>
      </c>
      <c r="Q13" s="361">
        <f t="shared" si="5"/>
        <v>1.1950228542407313</v>
      </c>
      <c r="R13" s="241">
        <f>+'Cash Flow'!O47/'Income - Continuing Ops'!U13</f>
        <v>1.7394616556627727</v>
      </c>
      <c r="S13" s="241">
        <v>0.57999999999999996</v>
      </c>
      <c r="T13" s="362">
        <v>28.43</v>
      </c>
      <c r="U13" s="110">
        <v>196.9</v>
      </c>
      <c r="V13" s="242"/>
      <c r="W13" s="363">
        <f t="shared" si="6"/>
        <v>1.1950228542407313</v>
      </c>
      <c r="X13" s="243">
        <f t="shared" si="7"/>
        <v>1.7394616556627727</v>
      </c>
      <c r="Y13" s="243">
        <f t="shared" si="7"/>
        <v>0.57999999999999996</v>
      </c>
      <c r="Z13" s="362">
        <f t="shared" si="8"/>
        <v>28.43</v>
      </c>
      <c r="AA13" s="2"/>
      <c r="AB13" s="2"/>
    </row>
    <row r="14" spans="1:31" x14ac:dyDescent="0.2">
      <c r="A14" s="294">
        <v>2005</v>
      </c>
      <c r="B14" s="367">
        <v>4197.1000000000004</v>
      </c>
      <c r="C14" s="367">
        <v>769.5</v>
      </c>
      <c r="D14" s="367">
        <v>389.7</v>
      </c>
      <c r="E14" s="367">
        <f>38.1-3</f>
        <v>35.1</v>
      </c>
      <c r="F14" s="120">
        <f t="shared" si="0"/>
        <v>344.7</v>
      </c>
      <c r="G14" s="367">
        <v>45.7</v>
      </c>
      <c r="H14" s="120">
        <v>6.6</v>
      </c>
      <c r="I14" s="120">
        <v>86.5</v>
      </c>
      <c r="J14" s="120">
        <f t="shared" si="1"/>
        <v>219.10000000000002</v>
      </c>
      <c r="K14" s="120">
        <v>35.200000000000003</v>
      </c>
      <c r="L14" s="120">
        <f t="shared" si="2"/>
        <v>254.3</v>
      </c>
      <c r="M14" s="120">
        <v>3</v>
      </c>
      <c r="N14" s="120">
        <f t="shared" si="3"/>
        <v>251.3</v>
      </c>
      <c r="O14" s="380">
        <f>125.6+7.8</f>
        <v>133.4</v>
      </c>
      <c r="P14" s="120">
        <f t="shared" si="4"/>
        <v>478.1</v>
      </c>
      <c r="Q14" s="368">
        <f t="shared" si="5"/>
        <v>1.1163631667312413</v>
      </c>
      <c r="R14" s="369">
        <f>+'Cash Flow'!O48/'Income - Continuing Ops'!U14</f>
        <v>2.3158982306599514</v>
      </c>
      <c r="S14" s="369">
        <v>0.63</v>
      </c>
      <c r="T14" s="370">
        <v>22.96</v>
      </c>
      <c r="U14" s="120">
        <v>193.57499999999999</v>
      </c>
      <c r="V14" s="371"/>
      <c r="W14" s="372">
        <f t="shared" si="6"/>
        <v>1.1163631667312413</v>
      </c>
      <c r="X14" s="373">
        <f t="shared" si="7"/>
        <v>2.3158982306599514</v>
      </c>
      <c r="Y14" s="373">
        <f t="shared" si="7"/>
        <v>0.63</v>
      </c>
      <c r="Z14" s="370">
        <f t="shared" si="8"/>
        <v>22.96</v>
      </c>
    </row>
    <row r="15" spans="1:31" x14ac:dyDescent="0.2">
      <c r="A15" s="77">
        <v>2006</v>
      </c>
      <c r="B15" s="244">
        <v>4266.8999999999996</v>
      </c>
      <c r="C15" s="244">
        <v>802.6</v>
      </c>
      <c r="D15" s="244">
        <v>395.3</v>
      </c>
      <c r="E15" s="244">
        <f>23.9-3.5</f>
        <v>20.399999999999999</v>
      </c>
      <c r="F15" s="108">
        <f t="shared" si="0"/>
        <v>386.90000000000003</v>
      </c>
      <c r="G15" s="244">
        <v>54.2</v>
      </c>
      <c r="H15" s="110">
        <v>6.4</v>
      </c>
      <c r="I15" s="108">
        <v>99.5</v>
      </c>
      <c r="J15" s="108">
        <f t="shared" si="1"/>
        <v>239.60000000000002</v>
      </c>
      <c r="K15" s="108">
        <v>64.2</v>
      </c>
      <c r="L15" s="108">
        <f t="shared" si="2"/>
        <v>303.8</v>
      </c>
      <c r="M15" s="108">
        <v>3.5</v>
      </c>
      <c r="N15" s="108">
        <f t="shared" si="3"/>
        <v>300.3</v>
      </c>
      <c r="O15" s="107">
        <f>119.7+15.7</f>
        <v>135.4</v>
      </c>
      <c r="P15" s="110">
        <f t="shared" si="4"/>
        <v>522.30000000000007</v>
      </c>
      <c r="Q15" s="361">
        <f t="shared" si="5"/>
        <v>1.2639186295503213</v>
      </c>
      <c r="R15" s="94">
        <f>+'Cash Flow'!O49/'Income - Continuing Ops'!U15</f>
        <v>2.5637044967880085</v>
      </c>
      <c r="S15" s="94">
        <v>0.67</v>
      </c>
      <c r="T15" s="113">
        <v>23.9</v>
      </c>
      <c r="U15" s="108">
        <v>186.8</v>
      </c>
      <c r="V15" s="114"/>
      <c r="W15" s="115">
        <f t="shared" si="6"/>
        <v>1.2639186295503213</v>
      </c>
      <c r="X15" s="95">
        <f t="shared" si="7"/>
        <v>2.5637044967880085</v>
      </c>
      <c r="Y15" s="95">
        <f t="shared" si="7"/>
        <v>0.67</v>
      </c>
      <c r="Z15" s="113">
        <f t="shared" si="8"/>
        <v>23.9</v>
      </c>
    </row>
    <row r="16" spans="1:31" x14ac:dyDescent="0.2">
      <c r="A16" s="77">
        <v>2007</v>
      </c>
      <c r="B16" s="244">
        <v>4250</v>
      </c>
      <c r="C16" s="244">
        <v>795.8</v>
      </c>
      <c r="D16" s="244">
        <v>429.7</v>
      </c>
      <c r="E16" s="244">
        <f>175.2-5.6</f>
        <v>169.6</v>
      </c>
      <c r="F16" s="108">
        <f t="shared" si="0"/>
        <v>196.49999999999997</v>
      </c>
      <c r="G16" s="244">
        <v>58.6</v>
      </c>
      <c r="H16" s="110">
        <v>9.5</v>
      </c>
      <c r="I16" s="108">
        <v>82.4</v>
      </c>
      <c r="J16" s="108">
        <f t="shared" si="1"/>
        <v>64.999999999999972</v>
      </c>
      <c r="K16" s="108">
        <v>-70.599999999999994</v>
      </c>
      <c r="L16" s="108">
        <f t="shared" si="2"/>
        <v>-5.6000000000000227</v>
      </c>
      <c r="M16" s="108">
        <v>5.6</v>
      </c>
      <c r="N16" s="108">
        <f t="shared" si="3"/>
        <v>-11.200000000000022</v>
      </c>
      <c r="O16" s="107">
        <f>120.2+23.3</f>
        <v>143.5</v>
      </c>
      <c r="P16" s="110">
        <f t="shared" si="4"/>
        <v>340</v>
      </c>
      <c r="Q16" s="361">
        <f t="shared" si="5"/>
        <v>0.33036707452725234</v>
      </c>
      <c r="R16" s="94">
        <f>+'Cash Flow'!O50/'Income - Continuing Ops'!U16</f>
        <v>3.4132369299221357</v>
      </c>
      <c r="S16" s="94">
        <v>0.78</v>
      </c>
      <c r="T16" s="113">
        <v>17.440000000000001</v>
      </c>
      <c r="U16" s="108">
        <v>179.8</v>
      </c>
      <c r="V16" s="114"/>
      <c r="W16" s="115">
        <f t="shared" si="6"/>
        <v>0.33036707452725234</v>
      </c>
      <c r="X16" s="95">
        <f t="shared" si="7"/>
        <v>3.4132369299221357</v>
      </c>
      <c r="Y16" s="95">
        <f t="shared" si="7"/>
        <v>0.78</v>
      </c>
      <c r="Z16" s="113">
        <f t="shared" si="8"/>
        <v>17.440000000000001</v>
      </c>
    </row>
    <row r="17" spans="1:26" x14ac:dyDescent="0.2">
      <c r="A17" s="77">
        <v>2008</v>
      </c>
      <c r="B17" s="244">
        <v>4076.1</v>
      </c>
      <c r="C17" s="244">
        <v>691.2</v>
      </c>
      <c r="D17" s="244">
        <v>423.2</v>
      </c>
      <c r="E17" s="244">
        <f>40.3-4.6</f>
        <v>35.699999999999996</v>
      </c>
      <c r="F17" s="108">
        <f t="shared" ref="F17:F23" si="9">C17-D17-E17</f>
        <v>232.30000000000007</v>
      </c>
      <c r="G17" s="244">
        <v>48.4</v>
      </c>
      <c r="H17" s="110">
        <v>8.6999999999999993</v>
      </c>
      <c r="I17" s="108">
        <v>65.099999999999994</v>
      </c>
      <c r="J17" s="108">
        <f t="shared" ref="J17:J23" si="10">F17-G17+H17-I17</f>
        <v>127.50000000000006</v>
      </c>
      <c r="K17" s="108">
        <v>-18.5</v>
      </c>
      <c r="L17" s="108">
        <f t="shared" si="2"/>
        <v>109.00000000000006</v>
      </c>
      <c r="M17" s="108">
        <v>4.5999999999999996</v>
      </c>
      <c r="N17" s="108">
        <f t="shared" si="3"/>
        <v>104.40000000000006</v>
      </c>
      <c r="O17" s="107">
        <v>140.4</v>
      </c>
      <c r="P17" s="110">
        <f t="shared" ref="P17:P23" si="11">F17+O17</f>
        <v>372.70000000000005</v>
      </c>
      <c r="Q17" s="361">
        <f t="shared" si="5"/>
        <v>0.73067776456599332</v>
      </c>
      <c r="R17" s="94">
        <f>+'Cash Flow'!O51/'Income - Continuing Ops'!U17</f>
        <v>2.5933412604042809</v>
      </c>
      <c r="S17" s="94">
        <v>1</v>
      </c>
      <c r="T17" s="113">
        <v>15.19</v>
      </c>
      <c r="U17" s="108">
        <v>168.2</v>
      </c>
      <c r="V17" s="114"/>
      <c r="W17" s="115">
        <f t="shared" ref="W17:W23" si="12">Q17</f>
        <v>0.73067776456599332</v>
      </c>
      <c r="X17" s="95">
        <f t="shared" ref="X17:Y19" si="13">+R17</f>
        <v>2.5933412604042809</v>
      </c>
      <c r="Y17" s="95">
        <f t="shared" si="13"/>
        <v>1</v>
      </c>
      <c r="Z17" s="113">
        <f t="shared" ref="Z17:Z23" si="14">T17</f>
        <v>15.19</v>
      </c>
    </row>
    <row r="18" spans="1:26" x14ac:dyDescent="0.2">
      <c r="A18" s="407">
        <v>2009</v>
      </c>
      <c r="B18" s="244">
        <v>2673</v>
      </c>
      <c r="C18" s="244">
        <v>564.9</v>
      </c>
      <c r="D18" s="244">
        <v>325.5</v>
      </c>
      <c r="E18" s="244">
        <v>31.6</v>
      </c>
      <c r="F18" s="108">
        <f t="shared" si="9"/>
        <v>207.79999999999998</v>
      </c>
      <c r="G18" s="244">
        <v>37.299999999999997</v>
      </c>
      <c r="H18" s="110">
        <v>5.4</v>
      </c>
      <c r="I18" s="108">
        <v>68.900000000000006</v>
      </c>
      <c r="J18" s="108">
        <f t="shared" si="10"/>
        <v>107</v>
      </c>
      <c r="K18" s="108">
        <v>8</v>
      </c>
      <c r="L18" s="108">
        <f t="shared" ref="L18:L23" si="15">+J18+K18</f>
        <v>115</v>
      </c>
      <c r="M18" s="108">
        <v>3.2</v>
      </c>
      <c r="N18" s="108">
        <f t="shared" ref="N18:N23" si="16">+L18-M18</f>
        <v>111.8</v>
      </c>
      <c r="O18" s="374">
        <v>118.7</v>
      </c>
      <c r="P18" s="110">
        <f t="shared" si="11"/>
        <v>326.5</v>
      </c>
      <c r="Q18" s="361">
        <f t="shared" si="5"/>
        <v>0.64874999999999994</v>
      </c>
      <c r="R18" s="94">
        <f>+'Cash Flow'!O52/'Income - Continuing Ops'!U18</f>
        <v>3.5331249999999996</v>
      </c>
      <c r="S18" s="94">
        <v>1.02</v>
      </c>
      <c r="T18" s="113">
        <v>20.399999999999999</v>
      </c>
      <c r="U18" s="108">
        <v>160</v>
      </c>
      <c r="V18" s="114"/>
      <c r="W18" s="115">
        <f t="shared" si="12"/>
        <v>0.64874999999999994</v>
      </c>
      <c r="X18" s="95">
        <f t="shared" si="13"/>
        <v>3.5331249999999996</v>
      </c>
      <c r="Y18" s="95">
        <f t="shared" si="13"/>
        <v>1.02</v>
      </c>
      <c r="Z18" s="113">
        <f t="shared" si="14"/>
        <v>20.399999999999999</v>
      </c>
    </row>
    <row r="19" spans="1:26" x14ac:dyDescent="0.2">
      <c r="A19" s="406">
        <v>2010</v>
      </c>
      <c r="B19" s="390">
        <v>2980.2</v>
      </c>
      <c r="C19" s="385">
        <v>599.4</v>
      </c>
      <c r="D19" s="385">
        <v>313.3</v>
      </c>
      <c r="E19" s="385">
        <v>7.6</v>
      </c>
      <c r="F19" s="119">
        <f t="shared" si="9"/>
        <v>278.49999999999994</v>
      </c>
      <c r="G19" s="385">
        <v>37.700000000000003</v>
      </c>
      <c r="H19" s="120">
        <v>5.2</v>
      </c>
      <c r="I19" s="119">
        <v>69.599999999999994</v>
      </c>
      <c r="J19" s="119">
        <f t="shared" si="10"/>
        <v>176.39999999999995</v>
      </c>
      <c r="K19" s="119">
        <v>6.4</v>
      </c>
      <c r="L19" s="119">
        <f t="shared" si="15"/>
        <v>182.79999999999995</v>
      </c>
      <c r="M19" s="119">
        <v>6.2</v>
      </c>
      <c r="N19" s="121">
        <f t="shared" si="16"/>
        <v>176.59999999999997</v>
      </c>
      <c r="O19" s="120">
        <v>111.4</v>
      </c>
      <c r="P19" s="120">
        <f t="shared" si="11"/>
        <v>389.9</v>
      </c>
      <c r="Q19" s="368">
        <f t="shared" ref="Q19:Q24" si="17">(+J19-M19)/U19</f>
        <v>1.1102413568166989</v>
      </c>
      <c r="R19" s="123">
        <f>+'Cash Flow'!O53/'Income - Continuing Ops'!U19</f>
        <v>2.3646444879321589</v>
      </c>
      <c r="S19" s="123">
        <v>1.06</v>
      </c>
      <c r="T19" s="124">
        <v>22.76</v>
      </c>
      <c r="U19" s="119">
        <v>153.30000000000001</v>
      </c>
      <c r="V19" s="125"/>
      <c r="W19" s="126">
        <f t="shared" si="12"/>
        <v>1.1102413568166989</v>
      </c>
      <c r="X19" s="127">
        <f t="shared" si="13"/>
        <v>2.3646444879321589</v>
      </c>
      <c r="Y19" s="127">
        <f t="shared" si="13"/>
        <v>1.06</v>
      </c>
      <c r="Z19" s="124">
        <f t="shared" si="14"/>
        <v>22.76</v>
      </c>
    </row>
    <row r="20" spans="1:26" x14ac:dyDescent="0.2">
      <c r="A20" s="409">
        <v>2011</v>
      </c>
      <c r="B20" s="244">
        <v>3303.2</v>
      </c>
      <c r="C20" s="244">
        <v>630.5</v>
      </c>
      <c r="D20" s="244">
        <v>343.4</v>
      </c>
      <c r="E20" s="244">
        <v>21.3</v>
      </c>
      <c r="F20" s="108">
        <f t="shared" si="9"/>
        <v>265.8</v>
      </c>
      <c r="G20" s="244">
        <v>38.1</v>
      </c>
      <c r="H20" s="110">
        <v>6.7</v>
      </c>
      <c r="I20" s="108">
        <v>61.5</v>
      </c>
      <c r="J20" s="108">
        <f t="shared" si="10"/>
        <v>172.9</v>
      </c>
      <c r="K20" s="108">
        <v>-16.5</v>
      </c>
      <c r="L20" s="108">
        <f t="shared" si="15"/>
        <v>156.4</v>
      </c>
      <c r="M20" s="108">
        <v>3.1</v>
      </c>
      <c r="N20" s="315">
        <f t="shared" si="16"/>
        <v>153.30000000000001</v>
      </c>
      <c r="O20" s="108">
        <v>105.4</v>
      </c>
      <c r="P20" s="388">
        <f t="shared" si="11"/>
        <v>371.20000000000005</v>
      </c>
      <c r="Q20" s="241">
        <f t="shared" si="17"/>
        <v>1.1551020408163266</v>
      </c>
      <c r="R20" s="94">
        <f>+'Cash Flow'!O54/'Income - Continuing Ops'!U20</f>
        <v>2.2374149659863942</v>
      </c>
      <c r="S20" s="94">
        <v>1.1000000000000001</v>
      </c>
      <c r="T20" s="318">
        <v>23.04</v>
      </c>
      <c r="U20" s="108">
        <v>147</v>
      </c>
      <c r="V20" s="391"/>
      <c r="W20" s="95">
        <f t="shared" si="12"/>
        <v>1.1551020408163266</v>
      </c>
      <c r="X20" s="95">
        <f t="shared" ref="X20" si="18">+R20</f>
        <v>2.2374149659863942</v>
      </c>
      <c r="Y20" s="95">
        <f t="shared" ref="Y20" si="19">+S20</f>
        <v>1.1000000000000001</v>
      </c>
      <c r="Z20" s="318">
        <f t="shared" si="14"/>
        <v>23.04</v>
      </c>
    </row>
    <row r="21" spans="1:26" x14ac:dyDescent="0.2">
      <c r="A21" s="407">
        <v>2012</v>
      </c>
      <c r="B21" s="244">
        <v>3414.5</v>
      </c>
      <c r="C21" s="244">
        <v>695.6</v>
      </c>
      <c r="D21" s="244">
        <v>348.1</v>
      </c>
      <c r="E21" s="244">
        <v>23.1</v>
      </c>
      <c r="F21" s="108">
        <f t="shared" si="9"/>
        <v>324.39999999999998</v>
      </c>
      <c r="G21" s="244">
        <v>43.4</v>
      </c>
      <c r="H21" s="110">
        <v>6.5</v>
      </c>
      <c r="I21" s="108">
        <v>55.7</v>
      </c>
      <c r="J21" s="108">
        <f t="shared" si="10"/>
        <v>231.8</v>
      </c>
      <c r="K21" s="108">
        <v>18.7</v>
      </c>
      <c r="L21" s="108">
        <f t="shared" si="15"/>
        <v>250.5</v>
      </c>
      <c r="M21" s="108">
        <v>2.2999999999999998</v>
      </c>
      <c r="N21" s="111">
        <f t="shared" si="16"/>
        <v>248.2</v>
      </c>
      <c r="O21" s="108">
        <v>111.4</v>
      </c>
      <c r="P21" s="377">
        <f t="shared" si="11"/>
        <v>435.79999999999995</v>
      </c>
      <c r="Q21" s="241">
        <f t="shared" si="17"/>
        <v>1.571917808219178</v>
      </c>
      <c r="R21" s="94">
        <f>+'Cash Flow'!O55/'Income - Continuing Ops'!U21</f>
        <v>3.0801369863013699</v>
      </c>
      <c r="S21" s="94">
        <v>1.1399999999999999</v>
      </c>
      <c r="T21" s="113">
        <v>27.22</v>
      </c>
      <c r="U21" s="108">
        <v>146</v>
      </c>
      <c r="V21" s="392"/>
      <c r="W21" s="95">
        <f t="shared" si="12"/>
        <v>1.571917808219178</v>
      </c>
      <c r="X21" s="95">
        <f t="shared" ref="X21" si="20">+R21</f>
        <v>3.0801369863013699</v>
      </c>
      <c r="Y21" s="95">
        <f t="shared" ref="Y21" si="21">+S21</f>
        <v>1.1399999999999999</v>
      </c>
      <c r="Z21" s="113">
        <f t="shared" si="14"/>
        <v>27.22</v>
      </c>
    </row>
    <row r="22" spans="1:26" x14ac:dyDescent="0.2">
      <c r="A22" s="407">
        <v>2013</v>
      </c>
      <c r="B22" s="244">
        <v>3477.2</v>
      </c>
      <c r="C22" s="244">
        <v>709.9</v>
      </c>
      <c r="D22" s="244">
        <v>367.9</v>
      </c>
      <c r="E22" s="244">
        <v>67.400000000000006</v>
      </c>
      <c r="F22" s="108">
        <f t="shared" si="9"/>
        <v>274.60000000000002</v>
      </c>
      <c r="G22" s="244">
        <v>44.7</v>
      </c>
      <c r="H22" s="110">
        <v>7.7</v>
      </c>
      <c r="I22" s="108">
        <v>51.3</v>
      </c>
      <c r="J22" s="108">
        <f t="shared" si="10"/>
        <v>186.3</v>
      </c>
      <c r="K22" s="108">
        <v>13.4</v>
      </c>
      <c r="L22" s="108">
        <f t="shared" si="15"/>
        <v>199.70000000000002</v>
      </c>
      <c r="M22" s="108">
        <v>2.4</v>
      </c>
      <c r="N22" s="111">
        <f t="shared" si="16"/>
        <v>197.3</v>
      </c>
      <c r="O22" s="108">
        <v>116.5</v>
      </c>
      <c r="P22" s="377">
        <f t="shared" si="11"/>
        <v>391.1</v>
      </c>
      <c r="Q22" s="241">
        <f t="shared" si="17"/>
        <v>1.2493206521739131</v>
      </c>
      <c r="R22" s="94">
        <f>+'Cash Flow'!O56/'Income - Continuing Ops'!U22</f>
        <v>2.8322010869565215</v>
      </c>
      <c r="S22" s="94">
        <v>1.18</v>
      </c>
      <c r="T22" s="113">
        <v>30.94</v>
      </c>
      <c r="U22" s="108">
        <v>147.19999999999999</v>
      </c>
      <c r="V22" s="392"/>
      <c r="W22" s="95">
        <f t="shared" si="12"/>
        <v>1.2493206521739131</v>
      </c>
      <c r="X22" s="95">
        <f t="shared" ref="X22:X23" si="22">+R22</f>
        <v>2.8322010869565215</v>
      </c>
      <c r="Y22" s="95">
        <f t="shared" ref="Y22:Y23" si="23">+S22</f>
        <v>1.18</v>
      </c>
      <c r="Z22" s="113">
        <f t="shared" si="14"/>
        <v>30.94</v>
      </c>
    </row>
    <row r="23" spans="1:26" x14ac:dyDescent="0.2">
      <c r="A23" s="445">
        <v>2014</v>
      </c>
      <c r="B23" s="244">
        <v>3782.3</v>
      </c>
      <c r="C23" s="244">
        <v>790.4</v>
      </c>
      <c r="D23" s="244">
        <v>449.6</v>
      </c>
      <c r="E23" s="244">
        <f>19.7-10.4</f>
        <v>9.2999999999999989</v>
      </c>
      <c r="F23" s="108">
        <f t="shared" si="9"/>
        <v>331.49999999999994</v>
      </c>
      <c r="G23" s="244">
        <v>41.8</v>
      </c>
      <c r="H23" s="110">
        <v>5.8</v>
      </c>
      <c r="I23" s="108">
        <v>70.3</v>
      </c>
      <c r="J23" s="108">
        <f t="shared" si="10"/>
        <v>225.19999999999993</v>
      </c>
      <c r="K23" s="108">
        <v>-124</v>
      </c>
      <c r="L23" s="108">
        <f t="shared" si="15"/>
        <v>101.19999999999993</v>
      </c>
      <c r="M23" s="108">
        <v>3.2</v>
      </c>
      <c r="N23" s="111">
        <f t="shared" si="16"/>
        <v>97.999999999999929</v>
      </c>
      <c r="O23" s="108">
        <v>117.9</v>
      </c>
      <c r="P23" s="377">
        <f t="shared" si="11"/>
        <v>449.4</v>
      </c>
      <c r="Q23" s="241">
        <f t="shared" si="17"/>
        <v>1.5502793296089383</v>
      </c>
      <c r="R23" s="94">
        <f>+'Cash Flow'!O57/'Income - Continuing Ops'!U23</f>
        <v>2.6668994413407825</v>
      </c>
      <c r="S23" s="94">
        <v>1.22</v>
      </c>
      <c r="T23" s="113">
        <v>42.61</v>
      </c>
      <c r="U23" s="108">
        <v>143.19999999999999</v>
      </c>
      <c r="V23" s="392"/>
      <c r="W23" s="95">
        <f t="shared" si="12"/>
        <v>1.5502793296089383</v>
      </c>
      <c r="X23" s="95">
        <f t="shared" si="22"/>
        <v>2.6668994413407825</v>
      </c>
      <c r="Y23" s="95">
        <f t="shared" si="23"/>
        <v>1.22</v>
      </c>
      <c r="Z23" s="113">
        <f t="shared" si="14"/>
        <v>42.61</v>
      </c>
    </row>
    <row r="24" spans="1:26" x14ac:dyDescent="0.2">
      <c r="A24" s="447">
        <v>2015</v>
      </c>
      <c r="B24" s="385">
        <v>3917.2</v>
      </c>
      <c r="C24" s="385">
        <v>923.2</v>
      </c>
      <c r="D24" s="385">
        <v>416.9</v>
      </c>
      <c r="E24" s="385">
        <f>20.8-1</f>
        <v>19.8</v>
      </c>
      <c r="F24" s="119">
        <f t="shared" ref="F24:F26" si="24">C24-D24-E24</f>
        <v>486.50000000000006</v>
      </c>
      <c r="G24" s="385">
        <v>41.1</v>
      </c>
      <c r="H24" s="120">
        <v>4.4000000000000004</v>
      </c>
      <c r="I24" s="119">
        <v>121.8</v>
      </c>
      <c r="J24" s="119">
        <f t="shared" ref="J24:J26" si="25">F24-G24+H24-I24</f>
        <v>328</v>
      </c>
      <c r="K24" s="119">
        <v>1.2</v>
      </c>
      <c r="L24" s="119">
        <f t="shared" ref="L24:L26" si="26">+J24+K24</f>
        <v>329.2</v>
      </c>
      <c r="M24" s="119">
        <v>4.0999999999999996</v>
      </c>
      <c r="N24" s="121">
        <f t="shared" ref="N24:N26" si="27">+L24-M24</f>
        <v>325.09999999999997</v>
      </c>
      <c r="O24" s="119">
        <v>113.2</v>
      </c>
      <c r="P24" s="386">
        <f t="shared" ref="P24" si="28">F24+O24</f>
        <v>599.70000000000005</v>
      </c>
      <c r="Q24" s="369">
        <f t="shared" si="17"/>
        <v>2.266620013995801</v>
      </c>
      <c r="R24" s="123">
        <f>+'Cash Flow'!O58/'Income - Continuing Ops'!U24</f>
        <v>2.5129461161651503</v>
      </c>
      <c r="S24" s="123">
        <v>1.26</v>
      </c>
      <c r="T24" s="124">
        <v>42.02</v>
      </c>
      <c r="U24" s="119">
        <v>142.9</v>
      </c>
      <c r="V24" s="393"/>
      <c r="W24" s="127">
        <f t="shared" ref="W24" si="29">Q24</f>
        <v>2.266620013995801</v>
      </c>
      <c r="X24" s="127">
        <f t="shared" ref="X24" si="30">+R24</f>
        <v>2.5129461161651503</v>
      </c>
      <c r="Y24" s="127">
        <f t="shared" ref="Y24" si="31">+S24</f>
        <v>1.26</v>
      </c>
      <c r="Z24" s="124">
        <f t="shared" ref="Z24" si="32">T24</f>
        <v>42.02</v>
      </c>
    </row>
    <row r="25" spans="1:26" x14ac:dyDescent="0.2">
      <c r="A25" s="409">
        <v>2016</v>
      </c>
      <c r="B25" s="244">
        <v>3749.9</v>
      </c>
      <c r="C25" s="244">
        <v>899.2</v>
      </c>
      <c r="D25" s="244">
        <v>396.8</v>
      </c>
      <c r="E25" s="244">
        <v>-19.600000000000001</v>
      </c>
      <c r="F25" s="108">
        <f t="shared" si="24"/>
        <v>522</v>
      </c>
      <c r="G25" s="244">
        <v>38.799999999999997</v>
      </c>
      <c r="H25" s="110">
        <v>3.9</v>
      </c>
      <c r="I25" s="108">
        <v>120</v>
      </c>
      <c r="J25" s="108">
        <f t="shared" si="25"/>
        <v>367.09999999999997</v>
      </c>
      <c r="K25" s="108">
        <v>19.100000000000001</v>
      </c>
      <c r="L25" s="108">
        <f t="shared" si="26"/>
        <v>386.2</v>
      </c>
      <c r="M25" s="108">
        <v>0.4</v>
      </c>
      <c r="N25" s="315">
        <f t="shared" si="27"/>
        <v>385.8</v>
      </c>
      <c r="O25" s="108">
        <v>115.4</v>
      </c>
      <c r="P25" s="388">
        <f>F25+O25</f>
        <v>637.4</v>
      </c>
      <c r="Q25" s="241">
        <f t="shared" ref="Q25" si="33">(+J25-M25)/U25</f>
        <v>2.6192857142857142</v>
      </c>
      <c r="R25" s="94">
        <f>+'Cash Flow'!O59/'Income - Continuing Ops'!U25</f>
        <v>3.9471428571428575</v>
      </c>
      <c r="S25" s="94">
        <v>1.34</v>
      </c>
      <c r="T25" s="318">
        <v>48.88</v>
      </c>
      <c r="U25" s="108">
        <v>140</v>
      </c>
      <c r="V25" s="391"/>
      <c r="W25" s="95">
        <f>Q25</f>
        <v>2.6192857142857142</v>
      </c>
      <c r="X25" s="95">
        <f t="shared" ref="X25" si="34">+R25</f>
        <v>3.9471428571428575</v>
      </c>
      <c r="Y25" s="95">
        <f t="shared" ref="Y25:Y26" si="35">+S25</f>
        <v>1.34</v>
      </c>
      <c r="Z25" s="318">
        <f t="shared" ref="Z25:Z26" si="36">T25</f>
        <v>48.88</v>
      </c>
    </row>
    <row r="26" spans="1:26" x14ac:dyDescent="0.2">
      <c r="A26" s="447">
        <v>2017</v>
      </c>
      <c r="B26" s="385">
        <v>3943.8</v>
      </c>
      <c r="C26" s="385">
        <v>867.9</v>
      </c>
      <c r="D26" s="385">
        <v>403.6</v>
      </c>
      <c r="E26" s="385">
        <f>-24.3+20.7</f>
        <v>-3.6000000000000014</v>
      </c>
      <c r="F26" s="119">
        <f t="shared" si="24"/>
        <v>467.9</v>
      </c>
      <c r="G26" s="385">
        <v>43.5</v>
      </c>
      <c r="H26" s="120">
        <v>7.6</v>
      </c>
      <c r="I26" s="119">
        <v>138.4</v>
      </c>
      <c r="J26" s="119">
        <f t="shared" si="25"/>
        <v>293.60000000000002</v>
      </c>
      <c r="K26" s="119">
        <v>-0.9</v>
      </c>
      <c r="L26" s="119">
        <f t="shared" si="26"/>
        <v>292.70000000000005</v>
      </c>
      <c r="M26" s="119">
        <v>0.1</v>
      </c>
      <c r="N26" s="121">
        <f t="shared" si="27"/>
        <v>292.60000000000002</v>
      </c>
      <c r="O26" s="119">
        <v>125.9</v>
      </c>
      <c r="P26" s="386">
        <f>F26+O26</f>
        <v>593.79999999999995</v>
      </c>
      <c r="Q26" s="369">
        <f t="shared" ref="Q26" si="37">(+J26-M26)/U26</f>
        <v>2.1376547705753821</v>
      </c>
      <c r="R26" s="369">
        <f>+'Cash Flow'!O60/'Income - Continuing Ops'!U26</f>
        <v>3.2316096139839767</v>
      </c>
      <c r="S26" s="123">
        <v>1.42</v>
      </c>
      <c r="T26" s="124">
        <v>47.73</v>
      </c>
      <c r="U26" s="119">
        <v>137.30000000000001</v>
      </c>
      <c r="V26" s="393"/>
      <c r="W26" s="373">
        <f>Q26</f>
        <v>2.1376547705753821</v>
      </c>
      <c r="X26" s="373">
        <f t="shared" ref="X26" si="38">+R26</f>
        <v>3.2316096139839767</v>
      </c>
      <c r="Y26" s="127">
        <f t="shared" si="35"/>
        <v>1.42</v>
      </c>
      <c r="Z26" s="124">
        <f t="shared" si="36"/>
        <v>47.73</v>
      </c>
    </row>
    <row r="29" spans="1:26" ht="12.75" customHeight="1" x14ac:dyDescent="0.2">
      <c r="A29" s="483" t="s">
        <v>241</v>
      </c>
      <c r="B29" s="489"/>
      <c r="C29" s="489"/>
      <c r="D29" s="489"/>
      <c r="E29" s="489"/>
      <c r="F29" s="489"/>
      <c r="G29" s="489"/>
      <c r="H29" s="489"/>
      <c r="I29" s="489"/>
      <c r="J29" s="489"/>
      <c r="K29" s="489"/>
      <c r="L29" s="489"/>
      <c r="M29" s="489"/>
      <c r="N29" s="489"/>
      <c r="O29" s="489"/>
      <c r="P29" s="489"/>
      <c r="Q29" s="489"/>
      <c r="R29" s="489"/>
      <c r="S29" s="489"/>
      <c r="T29" s="489"/>
      <c r="U29" s="489"/>
      <c r="V29" s="489"/>
      <c r="W29" s="489"/>
      <c r="X29" s="489"/>
      <c r="Y29" s="489"/>
      <c r="Z29" s="490"/>
    </row>
    <row r="30" spans="1:26" ht="12.75" customHeight="1" x14ac:dyDescent="0.2">
      <c r="A30" s="491"/>
      <c r="B30" s="492"/>
      <c r="C30" s="492"/>
      <c r="D30" s="492"/>
      <c r="E30" s="492"/>
      <c r="F30" s="492"/>
      <c r="G30" s="492"/>
      <c r="H30" s="492"/>
      <c r="I30" s="492"/>
      <c r="J30" s="492"/>
      <c r="K30" s="492"/>
      <c r="L30" s="492"/>
      <c r="M30" s="492"/>
      <c r="N30" s="492"/>
      <c r="O30" s="492"/>
      <c r="P30" s="492"/>
      <c r="Q30" s="492"/>
      <c r="R30" s="492"/>
      <c r="S30" s="492"/>
      <c r="T30" s="492"/>
      <c r="U30" s="492"/>
      <c r="V30" s="492"/>
      <c r="W30" s="492"/>
      <c r="X30" s="492"/>
      <c r="Y30" s="492"/>
      <c r="Z30" s="493"/>
    </row>
    <row r="31" spans="1:26" x14ac:dyDescent="0.2">
      <c r="A31" s="77">
        <v>2002</v>
      </c>
      <c r="B31" s="360">
        <f>3395.6-53</f>
        <v>3342.6</v>
      </c>
      <c r="C31" s="360">
        <f>683.2-16.6</f>
        <v>666.6</v>
      </c>
      <c r="D31" s="360">
        <v>325.39999999999998</v>
      </c>
      <c r="E31" s="360">
        <f>16.7-4.9</f>
        <v>11.799999999999999</v>
      </c>
      <c r="F31" s="110">
        <f t="shared" ref="F31:F36" si="39">C31-D31-E31</f>
        <v>329.40000000000003</v>
      </c>
      <c r="G31" s="360">
        <v>39</v>
      </c>
      <c r="H31" s="110">
        <v>4.7</v>
      </c>
      <c r="I31" s="110">
        <f>110.6-4.2</f>
        <v>106.39999999999999</v>
      </c>
      <c r="J31" s="110">
        <f t="shared" ref="J31:J36" si="40">F31-G31+H31-I31</f>
        <v>188.70000000000005</v>
      </c>
      <c r="K31" s="110"/>
      <c r="L31" s="110">
        <f t="shared" ref="L31:L37" si="41">+J31+K31</f>
        <v>188.70000000000005</v>
      </c>
      <c r="M31" s="110"/>
      <c r="N31" s="110">
        <f t="shared" ref="N31:N37" si="42">+L31-M31</f>
        <v>188.70000000000005</v>
      </c>
      <c r="O31" s="107">
        <f>118.9+9.6</f>
        <v>128.5</v>
      </c>
      <c r="P31" s="108">
        <f t="shared" ref="P31:P36" si="43">F31+O31</f>
        <v>457.90000000000003</v>
      </c>
      <c r="Q31" s="361">
        <f t="shared" ref="Q31:Q37" si="44">N31/U31</f>
        <v>0.94444444444444464</v>
      </c>
      <c r="R31" s="241">
        <f>+'Cash Flow'!O45/'Income - Continuing Ops'!U31</f>
        <v>2.2817817817817816</v>
      </c>
      <c r="S31" s="241">
        <v>0.5</v>
      </c>
      <c r="T31" s="362">
        <v>22.44</v>
      </c>
      <c r="U31" s="110">
        <v>199.8</v>
      </c>
      <c r="V31" s="242"/>
      <c r="W31" s="363">
        <f t="shared" ref="W31:W36" si="45">Q31</f>
        <v>0.94444444444444464</v>
      </c>
      <c r="X31" s="243">
        <f t="shared" ref="X31:X36" si="46">+R31</f>
        <v>2.2817817817817816</v>
      </c>
      <c r="Y31" s="243">
        <f t="shared" ref="Y31:Y36" si="47">+S31</f>
        <v>0.5</v>
      </c>
      <c r="Z31" s="362">
        <f t="shared" ref="Z31:Z36" si="48">T31</f>
        <v>22.44</v>
      </c>
    </row>
    <row r="32" spans="1:26" ht="12.75" customHeight="1" x14ac:dyDescent="0.2">
      <c r="A32" s="77">
        <v>2003</v>
      </c>
      <c r="B32" s="360">
        <v>3468.3</v>
      </c>
      <c r="C32" s="360">
        <v>641</v>
      </c>
      <c r="D32" s="360">
        <v>340.1</v>
      </c>
      <c r="E32" s="360">
        <v>5.3</v>
      </c>
      <c r="F32" s="110">
        <f t="shared" si="39"/>
        <v>295.59999999999997</v>
      </c>
      <c r="G32" s="360">
        <v>43.8</v>
      </c>
      <c r="H32" s="110">
        <v>6.4</v>
      </c>
      <c r="I32" s="110">
        <v>87.9</v>
      </c>
      <c r="J32" s="110">
        <f t="shared" si="40"/>
        <v>170.29999999999993</v>
      </c>
      <c r="K32" s="110"/>
      <c r="L32" s="110">
        <f t="shared" si="41"/>
        <v>170.29999999999993</v>
      </c>
      <c r="M32" s="110"/>
      <c r="N32" s="110">
        <f t="shared" si="42"/>
        <v>170.29999999999993</v>
      </c>
      <c r="O32" s="374">
        <f>123.4+7.9</f>
        <v>131.30000000000001</v>
      </c>
      <c r="P32" s="110">
        <f t="shared" si="43"/>
        <v>426.9</v>
      </c>
      <c r="Q32" s="361">
        <f t="shared" si="44"/>
        <v>0.86446700507614171</v>
      </c>
      <c r="R32" s="241">
        <f>+'Cash Flow'!O46/'Income - Continuing Ops'!U32</f>
        <v>2.0065989847715735</v>
      </c>
      <c r="S32" s="241">
        <v>0.54</v>
      </c>
      <c r="T32" s="362">
        <v>21.63</v>
      </c>
      <c r="U32" s="110">
        <v>197</v>
      </c>
      <c r="V32" s="242"/>
      <c r="W32" s="363">
        <f t="shared" si="45"/>
        <v>0.86446700507614171</v>
      </c>
      <c r="X32" s="243">
        <f t="shared" si="46"/>
        <v>2.0065989847715735</v>
      </c>
      <c r="Y32" s="243">
        <f t="shared" si="47"/>
        <v>0.54</v>
      </c>
      <c r="Z32" s="362">
        <f t="shared" si="48"/>
        <v>21.63</v>
      </c>
    </row>
    <row r="33" spans="1:26" ht="12.75" customHeight="1" x14ac:dyDescent="0.2">
      <c r="A33" s="77">
        <v>2004</v>
      </c>
      <c r="B33" s="366">
        <v>4055.1</v>
      </c>
      <c r="C33" s="366">
        <v>761.3</v>
      </c>
      <c r="D33" s="366">
        <v>386.7</v>
      </c>
      <c r="E33" s="366">
        <f>-7.2-1.9</f>
        <v>-9.1</v>
      </c>
      <c r="F33" s="110">
        <f t="shared" si="39"/>
        <v>383.7</v>
      </c>
      <c r="G33" s="366">
        <v>45.6</v>
      </c>
      <c r="H33" s="110">
        <v>6.8</v>
      </c>
      <c r="I33" s="110">
        <v>107.7</v>
      </c>
      <c r="J33" s="110">
        <f t="shared" si="40"/>
        <v>237.2</v>
      </c>
      <c r="K33" s="110"/>
      <c r="L33" s="110">
        <f t="shared" si="41"/>
        <v>237.2</v>
      </c>
      <c r="M33" s="110">
        <v>1.9</v>
      </c>
      <c r="N33" s="110">
        <f t="shared" si="42"/>
        <v>235.29999999999998</v>
      </c>
      <c r="O33" s="374">
        <f>131.3+8.9</f>
        <v>140.20000000000002</v>
      </c>
      <c r="P33" s="110">
        <f t="shared" si="43"/>
        <v>523.9</v>
      </c>
      <c r="Q33" s="361">
        <f t="shared" si="44"/>
        <v>1.1950228542407313</v>
      </c>
      <c r="R33" s="241">
        <f>+'Cash Flow'!O47/'Income - Continuing Ops'!U33</f>
        <v>1.7394616556627727</v>
      </c>
      <c r="S33" s="241">
        <v>0.57999999999999996</v>
      </c>
      <c r="T33" s="362">
        <v>28.43</v>
      </c>
      <c r="U33" s="110">
        <v>196.9</v>
      </c>
      <c r="V33" s="242"/>
      <c r="W33" s="363">
        <f t="shared" si="45"/>
        <v>1.1950228542407313</v>
      </c>
      <c r="X33" s="243">
        <f t="shared" si="46"/>
        <v>1.7394616556627727</v>
      </c>
      <c r="Y33" s="243">
        <f t="shared" si="47"/>
        <v>0.57999999999999996</v>
      </c>
      <c r="Z33" s="362">
        <f t="shared" si="48"/>
        <v>28.43</v>
      </c>
    </row>
    <row r="34" spans="1:26" x14ac:dyDescent="0.2">
      <c r="A34" s="406">
        <v>2005</v>
      </c>
      <c r="B34" s="367">
        <v>4197.1000000000004</v>
      </c>
      <c r="C34" s="367">
        <f>769.5+13+21</f>
        <v>803.5</v>
      </c>
      <c r="D34" s="367">
        <v>389.7</v>
      </c>
      <c r="E34" s="367">
        <f>38.1-(44-13)-3</f>
        <v>4.1000000000000014</v>
      </c>
      <c r="F34" s="120">
        <f t="shared" si="39"/>
        <v>409.7</v>
      </c>
      <c r="G34" s="367">
        <v>45.7</v>
      </c>
      <c r="H34" s="120">
        <v>6.6</v>
      </c>
      <c r="I34" s="120">
        <f>86.5+32</f>
        <v>118.5</v>
      </c>
      <c r="J34" s="120">
        <f t="shared" si="40"/>
        <v>252.10000000000002</v>
      </c>
      <c r="K34" s="120"/>
      <c r="L34" s="120">
        <f t="shared" si="41"/>
        <v>252.10000000000002</v>
      </c>
      <c r="M34" s="120">
        <v>3</v>
      </c>
      <c r="N34" s="120">
        <f t="shared" si="42"/>
        <v>249.10000000000002</v>
      </c>
      <c r="O34" s="380">
        <f>125.6+7.8</f>
        <v>133.4</v>
      </c>
      <c r="P34" s="120">
        <f t="shared" si="43"/>
        <v>543.1</v>
      </c>
      <c r="Q34" s="368">
        <f t="shared" si="44"/>
        <v>1.2868397262043139</v>
      </c>
      <c r="R34" s="369">
        <f>+'Cash Flow'!O48/'Income - Continuing Ops'!U34</f>
        <v>2.3158982306599514</v>
      </c>
      <c r="S34" s="369">
        <v>0.63</v>
      </c>
      <c r="T34" s="370">
        <v>22.96</v>
      </c>
      <c r="U34" s="120">
        <v>193.57499999999999</v>
      </c>
      <c r="V34" s="371"/>
      <c r="W34" s="372">
        <f t="shared" si="45"/>
        <v>1.2868397262043139</v>
      </c>
      <c r="X34" s="373">
        <f t="shared" si="46"/>
        <v>2.3158982306599514</v>
      </c>
      <c r="Y34" s="373">
        <f t="shared" si="47"/>
        <v>0.63</v>
      </c>
      <c r="Z34" s="370">
        <f t="shared" si="48"/>
        <v>22.96</v>
      </c>
    </row>
    <row r="35" spans="1:26" x14ac:dyDescent="0.2">
      <c r="A35" s="407">
        <v>2006</v>
      </c>
      <c r="B35" s="244">
        <v>4266.8999999999996</v>
      </c>
      <c r="C35" s="366">
        <v>802.6</v>
      </c>
      <c r="D35" s="366">
        <f>395.3-12</f>
        <v>383.3</v>
      </c>
      <c r="E35" s="366">
        <f>23.9-(18-4)-3.5</f>
        <v>6.3999999999999986</v>
      </c>
      <c r="F35" s="110">
        <f t="shared" si="39"/>
        <v>412.90000000000003</v>
      </c>
      <c r="G35" s="366">
        <v>54.2</v>
      </c>
      <c r="H35" s="110">
        <v>6.4</v>
      </c>
      <c r="I35" s="110">
        <f>99.5+19</f>
        <v>118.5</v>
      </c>
      <c r="J35" s="110">
        <f t="shared" si="40"/>
        <v>246.60000000000002</v>
      </c>
      <c r="K35" s="110"/>
      <c r="L35" s="110">
        <f t="shared" si="41"/>
        <v>246.60000000000002</v>
      </c>
      <c r="M35" s="108">
        <v>3.5</v>
      </c>
      <c r="N35" s="110">
        <f t="shared" si="42"/>
        <v>243.10000000000002</v>
      </c>
      <c r="O35" s="107">
        <f>119.7+15.7</f>
        <v>135.4</v>
      </c>
      <c r="P35" s="110">
        <f t="shared" si="43"/>
        <v>548.30000000000007</v>
      </c>
      <c r="Q35" s="361">
        <f t="shared" si="44"/>
        <v>1.3013918629550321</v>
      </c>
      <c r="R35" s="241">
        <f>+'Cash Flow'!O49/'Income - Continuing Ops'!U35</f>
        <v>2.5637044967880085</v>
      </c>
      <c r="S35" s="241">
        <v>0.67</v>
      </c>
      <c r="T35" s="362">
        <v>23.9</v>
      </c>
      <c r="U35" s="110">
        <v>186.8</v>
      </c>
      <c r="V35" s="242"/>
      <c r="W35" s="363">
        <f t="shared" si="45"/>
        <v>1.3013918629550321</v>
      </c>
      <c r="X35" s="243">
        <f t="shared" si="46"/>
        <v>2.5637044967880085</v>
      </c>
      <c r="Y35" s="243">
        <f t="shared" si="47"/>
        <v>0.67</v>
      </c>
      <c r="Z35" s="362">
        <f t="shared" si="48"/>
        <v>23.9</v>
      </c>
    </row>
    <row r="36" spans="1:26" x14ac:dyDescent="0.2">
      <c r="A36" s="407">
        <v>2007</v>
      </c>
      <c r="B36" s="244">
        <v>4250</v>
      </c>
      <c r="C36" s="366">
        <f>795.8+5</f>
        <v>800.8</v>
      </c>
      <c r="D36" s="366">
        <f>429.7-12</f>
        <v>417.7</v>
      </c>
      <c r="E36" s="366">
        <f>175.2-(143+2+24-9-5)-5.6</f>
        <v>14.599999999999989</v>
      </c>
      <c r="F36" s="110">
        <f t="shared" si="39"/>
        <v>368.5</v>
      </c>
      <c r="G36" s="366">
        <v>58.6</v>
      </c>
      <c r="H36" s="110">
        <v>9.5</v>
      </c>
      <c r="I36" s="110">
        <f>82.4+15</f>
        <v>97.4</v>
      </c>
      <c r="J36" s="110">
        <f t="shared" si="40"/>
        <v>221.99999999999997</v>
      </c>
      <c r="K36" s="110"/>
      <c r="L36" s="110">
        <f t="shared" si="41"/>
        <v>221.99999999999997</v>
      </c>
      <c r="M36" s="108">
        <v>5.6</v>
      </c>
      <c r="N36" s="110">
        <f t="shared" si="42"/>
        <v>216.39999999999998</v>
      </c>
      <c r="O36" s="107">
        <f>120.2+23.3</f>
        <v>143.5</v>
      </c>
      <c r="P36" s="110">
        <f t="shared" si="43"/>
        <v>512</v>
      </c>
      <c r="Q36" s="361">
        <f t="shared" si="44"/>
        <v>1.2035595105672967</v>
      </c>
      <c r="R36" s="241">
        <f>+'Cash Flow'!O50/'Income - Continuing Ops'!U36</f>
        <v>3.4132369299221357</v>
      </c>
      <c r="S36" s="241">
        <v>0.78</v>
      </c>
      <c r="T36" s="362">
        <v>17.440000000000001</v>
      </c>
      <c r="U36" s="110">
        <v>179.8</v>
      </c>
      <c r="V36" s="242"/>
      <c r="W36" s="363">
        <f t="shared" si="45"/>
        <v>1.2035595105672967</v>
      </c>
      <c r="X36" s="243">
        <f t="shared" si="46"/>
        <v>3.4132369299221357</v>
      </c>
      <c r="Y36" s="243">
        <f t="shared" si="47"/>
        <v>0.78</v>
      </c>
      <c r="Z36" s="362">
        <f t="shared" si="48"/>
        <v>17.440000000000001</v>
      </c>
    </row>
    <row r="37" spans="1:26" x14ac:dyDescent="0.2">
      <c r="A37" s="407">
        <v>2008</v>
      </c>
      <c r="B37" s="244">
        <v>4076.1</v>
      </c>
      <c r="C37" s="366">
        <f>691.2+12</f>
        <v>703.2</v>
      </c>
      <c r="D37" s="366">
        <f>423.2-7</f>
        <v>416.2</v>
      </c>
      <c r="E37" s="366">
        <f>40.3-10-21+3+9-4.6</f>
        <v>16.699999999999996</v>
      </c>
      <c r="F37" s="110">
        <f t="shared" ref="F37:F43" si="49">C37-D37-E37</f>
        <v>270.30000000000007</v>
      </c>
      <c r="G37" s="366">
        <v>48.4</v>
      </c>
      <c r="H37" s="110">
        <v>8.6999999999999993</v>
      </c>
      <c r="I37" s="110">
        <f>65.1+15</f>
        <v>80.099999999999994</v>
      </c>
      <c r="J37" s="110">
        <f t="shared" ref="J37:J43" si="50">F37-G37+H37-I37</f>
        <v>150.50000000000006</v>
      </c>
      <c r="K37" s="110"/>
      <c r="L37" s="110">
        <f t="shared" si="41"/>
        <v>150.50000000000006</v>
      </c>
      <c r="M37" s="108">
        <v>4.5999999999999996</v>
      </c>
      <c r="N37" s="110">
        <f t="shared" si="42"/>
        <v>145.90000000000006</v>
      </c>
      <c r="O37" s="107">
        <v>140.4</v>
      </c>
      <c r="P37" s="110">
        <f t="shared" ref="P37:P43" si="51">F37+O37</f>
        <v>410.70000000000005</v>
      </c>
      <c r="Q37" s="361">
        <f t="shared" si="44"/>
        <v>0.8674197384066592</v>
      </c>
      <c r="R37" s="241">
        <f>+'Cash Flow'!O51/'Income - Continuing Ops'!U37</f>
        <v>2.5933412604042809</v>
      </c>
      <c r="S37" s="241">
        <v>1</v>
      </c>
      <c r="T37" s="362">
        <v>15.19</v>
      </c>
      <c r="U37" s="110">
        <v>168.2</v>
      </c>
      <c r="V37" s="242"/>
      <c r="W37" s="363">
        <f t="shared" ref="W37:W42" si="52">Q37</f>
        <v>0.8674197384066592</v>
      </c>
      <c r="X37" s="243">
        <f t="shared" ref="X37:Y43" si="53">+R37</f>
        <v>2.5933412604042809</v>
      </c>
      <c r="Y37" s="243">
        <f t="shared" si="53"/>
        <v>1</v>
      </c>
      <c r="Z37" s="362">
        <f t="shared" ref="Z37:Z43" si="54">T37</f>
        <v>15.19</v>
      </c>
    </row>
    <row r="38" spans="1:26" x14ac:dyDescent="0.2">
      <c r="A38" s="407">
        <v>2009</v>
      </c>
      <c r="B38" s="244">
        <v>2673</v>
      </c>
      <c r="C38" s="366">
        <v>564.9</v>
      </c>
      <c r="D38" s="366">
        <f>325.5-8</f>
        <v>317.5</v>
      </c>
      <c r="E38" s="366">
        <f>31.6-11</f>
        <v>20.6</v>
      </c>
      <c r="F38" s="110">
        <f t="shared" si="49"/>
        <v>226.79999999999998</v>
      </c>
      <c r="G38" s="366">
        <v>37.299999999999997</v>
      </c>
      <c r="H38" s="110">
        <v>5.4</v>
      </c>
      <c r="I38" s="110">
        <f>68.9-6+2+4</f>
        <v>68.900000000000006</v>
      </c>
      <c r="J38" s="110">
        <f t="shared" si="50"/>
        <v>126</v>
      </c>
      <c r="K38" s="110"/>
      <c r="L38" s="110">
        <f t="shared" ref="L38:L43" si="55">+J38+K38</f>
        <v>126</v>
      </c>
      <c r="M38" s="108">
        <v>3.2</v>
      </c>
      <c r="N38" s="110">
        <f t="shared" ref="N38:N43" si="56">+L38-M38</f>
        <v>122.8</v>
      </c>
      <c r="O38" s="374">
        <v>118.7</v>
      </c>
      <c r="P38" s="110">
        <f t="shared" si="51"/>
        <v>345.5</v>
      </c>
      <c r="Q38" s="361">
        <f>N38/U38</f>
        <v>0.76749999999999996</v>
      </c>
      <c r="R38" s="241">
        <f>+'Cash Flow'!O52/'Income - Continuing Ops'!U38</f>
        <v>3.5331249999999996</v>
      </c>
      <c r="S38" s="241">
        <v>1.02</v>
      </c>
      <c r="T38" s="362">
        <v>20.399999999999999</v>
      </c>
      <c r="U38" s="110">
        <v>160</v>
      </c>
      <c r="V38" s="242"/>
      <c r="W38" s="363">
        <f t="shared" si="52"/>
        <v>0.76749999999999996</v>
      </c>
      <c r="X38" s="243">
        <f t="shared" si="53"/>
        <v>3.5331249999999996</v>
      </c>
      <c r="Y38" s="243">
        <f t="shared" si="53"/>
        <v>1.02</v>
      </c>
      <c r="Z38" s="362">
        <f t="shared" si="54"/>
        <v>20.399999999999999</v>
      </c>
    </row>
    <row r="39" spans="1:26" x14ac:dyDescent="0.2">
      <c r="A39" s="406">
        <v>2010</v>
      </c>
      <c r="B39" s="385">
        <v>2980.2</v>
      </c>
      <c r="C39" s="367">
        <v>599.4</v>
      </c>
      <c r="D39" s="367">
        <v>313.3</v>
      </c>
      <c r="E39" s="367">
        <v>7.6</v>
      </c>
      <c r="F39" s="120">
        <f t="shared" si="49"/>
        <v>278.49999999999994</v>
      </c>
      <c r="G39" s="367">
        <v>37.700000000000003</v>
      </c>
      <c r="H39" s="120">
        <v>5.2</v>
      </c>
      <c r="I39" s="120">
        <v>69.599999999999994</v>
      </c>
      <c r="J39" s="120">
        <f t="shared" si="50"/>
        <v>176.39999999999995</v>
      </c>
      <c r="K39" s="120"/>
      <c r="L39" s="120">
        <f t="shared" si="55"/>
        <v>176.39999999999995</v>
      </c>
      <c r="M39" s="119">
        <v>6.2</v>
      </c>
      <c r="N39" s="386">
        <f t="shared" si="56"/>
        <v>170.19999999999996</v>
      </c>
      <c r="O39" s="120">
        <v>111.4</v>
      </c>
      <c r="P39" s="386">
        <f t="shared" si="51"/>
        <v>389.9</v>
      </c>
      <c r="Q39" s="369">
        <f>N39/U39</f>
        <v>1.1102413568166989</v>
      </c>
      <c r="R39" s="369">
        <f>+'Cash Flow'!O53/'Income - Continuing Ops'!U39</f>
        <v>2.3646444879321589</v>
      </c>
      <c r="S39" s="369">
        <v>1.06</v>
      </c>
      <c r="T39" s="370">
        <v>22.76</v>
      </c>
      <c r="U39" s="120">
        <v>153.30000000000001</v>
      </c>
      <c r="V39" s="387"/>
      <c r="W39" s="373">
        <f t="shared" si="52"/>
        <v>1.1102413568166989</v>
      </c>
      <c r="X39" s="373">
        <f t="shared" si="53"/>
        <v>2.3646444879321589</v>
      </c>
      <c r="Y39" s="373">
        <f t="shared" si="53"/>
        <v>1.06</v>
      </c>
      <c r="Z39" s="370">
        <f t="shared" si="54"/>
        <v>22.76</v>
      </c>
    </row>
    <row r="40" spans="1:26" x14ac:dyDescent="0.2">
      <c r="A40" s="407">
        <v>2011</v>
      </c>
      <c r="B40" s="244">
        <v>3303.2</v>
      </c>
      <c r="C40" s="244">
        <f>630.5+1.1</f>
        <v>631.6</v>
      </c>
      <c r="D40" s="244">
        <v>343.4</v>
      </c>
      <c r="E40" s="244">
        <f>21.3-13.6</f>
        <v>7.7000000000000011</v>
      </c>
      <c r="F40" s="108">
        <f t="shared" si="49"/>
        <v>280.50000000000006</v>
      </c>
      <c r="G40" s="244">
        <v>38.1</v>
      </c>
      <c r="H40" s="110">
        <v>6.7</v>
      </c>
      <c r="I40" s="108">
        <f>61.5+5.3</f>
        <v>66.8</v>
      </c>
      <c r="J40" s="108">
        <f t="shared" si="50"/>
        <v>182.30000000000007</v>
      </c>
      <c r="K40" s="108">
        <v>0</v>
      </c>
      <c r="L40" s="108">
        <f t="shared" si="55"/>
        <v>182.30000000000007</v>
      </c>
      <c r="M40" s="108">
        <v>3.1</v>
      </c>
      <c r="N40" s="315">
        <f t="shared" si="56"/>
        <v>179.20000000000007</v>
      </c>
      <c r="O40" s="108">
        <v>105.4</v>
      </c>
      <c r="P40" s="388">
        <f t="shared" si="51"/>
        <v>385.90000000000009</v>
      </c>
      <c r="Q40" s="241">
        <f t="shared" ref="Q40:Q45" si="57">(+J40-M40)/U40</f>
        <v>1.2190476190476196</v>
      </c>
      <c r="R40" s="94">
        <f>+'Cash Flow'!O54/'Income - Continuing Ops'!U40</f>
        <v>2.2374149659863942</v>
      </c>
      <c r="S40" s="94">
        <v>1.1000000000000001</v>
      </c>
      <c r="T40" s="318">
        <v>23.04</v>
      </c>
      <c r="U40" s="108">
        <v>147</v>
      </c>
      <c r="V40" s="391"/>
      <c r="W40" s="95">
        <f t="shared" si="52"/>
        <v>1.2190476190476196</v>
      </c>
      <c r="X40" s="95">
        <f t="shared" si="53"/>
        <v>2.2374149659863942</v>
      </c>
      <c r="Y40" s="95">
        <f t="shared" si="53"/>
        <v>1.1000000000000001</v>
      </c>
      <c r="Z40" s="318">
        <f t="shared" si="54"/>
        <v>23.04</v>
      </c>
    </row>
    <row r="41" spans="1:26" x14ac:dyDescent="0.2">
      <c r="A41" s="407">
        <v>2012</v>
      </c>
      <c r="B41" s="244">
        <v>3414.5</v>
      </c>
      <c r="C41" s="244">
        <v>695.6</v>
      </c>
      <c r="D41" s="244">
        <v>348.1</v>
      </c>
      <c r="E41" s="244">
        <v>23.1</v>
      </c>
      <c r="F41" s="108">
        <f t="shared" si="49"/>
        <v>324.39999999999998</v>
      </c>
      <c r="G41" s="244">
        <v>43.4</v>
      </c>
      <c r="H41" s="110">
        <v>6.5</v>
      </c>
      <c r="I41" s="108">
        <f>55.7+27</f>
        <v>82.7</v>
      </c>
      <c r="J41" s="108">
        <f t="shared" si="50"/>
        <v>204.8</v>
      </c>
      <c r="K41" s="108"/>
      <c r="L41" s="108">
        <f t="shared" si="55"/>
        <v>204.8</v>
      </c>
      <c r="M41" s="108">
        <v>2.2999999999999998</v>
      </c>
      <c r="N41" s="111">
        <f t="shared" si="56"/>
        <v>202.5</v>
      </c>
      <c r="O41" s="108">
        <v>111.4</v>
      </c>
      <c r="P41" s="377">
        <f t="shared" si="51"/>
        <v>435.79999999999995</v>
      </c>
      <c r="Q41" s="241">
        <f t="shared" si="57"/>
        <v>1.3869863013698631</v>
      </c>
      <c r="R41" s="94">
        <f>+'Cash Flow'!O55/'Income - Continuing Ops'!U41</f>
        <v>3.0801369863013699</v>
      </c>
      <c r="S41" s="94">
        <v>1.1399999999999999</v>
      </c>
      <c r="T41" s="113">
        <v>27.22</v>
      </c>
      <c r="U41" s="108">
        <v>146</v>
      </c>
      <c r="V41" s="392"/>
      <c r="W41" s="95">
        <f t="shared" si="52"/>
        <v>1.3869863013698631</v>
      </c>
      <c r="X41" s="95">
        <f t="shared" si="53"/>
        <v>3.0801369863013699</v>
      </c>
      <c r="Y41" s="95">
        <f t="shared" si="53"/>
        <v>1.1399999999999999</v>
      </c>
      <c r="Z41" s="113">
        <f t="shared" si="54"/>
        <v>27.22</v>
      </c>
    </row>
    <row r="42" spans="1:26" x14ac:dyDescent="0.2">
      <c r="A42" s="407">
        <v>2013</v>
      </c>
      <c r="B42" s="244">
        <v>3477.2</v>
      </c>
      <c r="C42" s="244">
        <v>709.9</v>
      </c>
      <c r="D42" s="244">
        <v>367.9</v>
      </c>
      <c r="E42" s="244">
        <f>67.4-66.8+8.7</f>
        <v>9.3000000000000078</v>
      </c>
      <c r="F42" s="108">
        <f t="shared" si="49"/>
        <v>332.7</v>
      </c>
      <c r="G42" s="244">
        <v>44.7</v>
      </c>
      <c r="H42" s="110">
        <v>7.7</v>
      </c>
      <c r="I42" s="108">
        <f>51.3+21.5</f>
        <v>72.8</v>
      </c>
      <c r="J42" s="108">
        <f t="shared" si="50"/>
        <v>222.89999999999998</v>
      </c>
      <c r="K42" s="108"/>
      <c r="L42" s="108">
        <f t="shared" si="55"/>
        <v>222.89999999999998</v>
      </c>
      <c r="M42" s="108">
        <v>2.4</v>
      </c>
      <c r="N42" s="111">
        <f t="shared" si="56"/>
        <v>220.49999999999997</v>
      </c>
      <c r="O42" s="108">
        <f>116.5-3.8</f>
        <v>112.7</v>
      </c>
      <c r="P42" s="377">
        <f t="shared" si="51"/>
        <v>445.4</v>
      </c>
      <c r="Q42" s="241">
        <f t="shared" si="57"/>
        <v>1.497961956521739</v>
      </c>
      <c r="R42" s="94">
        <f>+'Cash Flow'!O56/'Income - Continuing Ops'!U42</f>
        <v>2.8322010869565215</v>
      </c>
      <c r="S42" s="94">
        <v>1.18</v>
      </c>
      <c r="T42" s="113">
        <v>30.94</v>
      </c>
      <c r="U42" s="108">
        <v>147.19999999999999</v>
      </c>
      <c r="V42" s="392"/>
      <c r="W42" s="95">
        <f t="shared" si="52"/>
        <v>1.497961956521739</v>
      </c>
      <c r="X42" s="95">
        <f t="shared" si="53"/>
        <v>2.8322010869565215</v>
      </c>
      <c r="Y42" s="95">
        <f t="shared" si="53"/>
        <v>1.18</v>
      </c>
      <c r="Z42" s="113">
        <f t="shared" si="54"/>
        <v>30.94</v>
      </c>
    </row>
    <row r="43" spans="1:26" x14ac:dyDescent="0.2">
      <c r="A43" s="445">
        <v>2014</v>
      </c>
      <c r="B43" s="244">
        <v>3782.3</v>
      </c>
      <c r="C43" s="244">
        <v>790.4</v>
      </c>
      <c r="D43" s="244">
        <f>449.6-53.4</f>
        <v>396.20000000000005</v>
      </c>
      <c r="E43" s="244">
        <f>19.7-10.4</f>
        <v>9.2999999999999989</v>
      </c>
      <c r="F43" s="108">
        <f t="shared" si="49"/>
        <v>384.89999999999992</v>
      </c>
      <c r="G43" s="244">
        <v>41.8</v>
      </c>
      <c r="H43" s="110">
        <v>5.8</v>
      </c>
      <c r="I43" s="108">
        <f>70.3+20.3</f>
        <v>90.6</v>
      </c>
      <c r="J43" s="108">
        <f t="shared" si="50"/>
        <v>258.29999999999995</v>
      </c>
      <c r="K43" s="110"/>
      <c r="L43" s="108">
        <f t="shared" si="55"/>
        <v>258.29999999999995</v>
      </c>
      <c r="M43" s="108">
        <v>3.2</v>
      </c>
      <c r="N43" s="111">
        <f t="shared" si="56"/>
        <v>255.09999999999997</v>
      </c>
      <c r="O43" s="108">
        <v>117.9</v>
      </c>
      <c r="P43" s="377">
        <f t="shared" si="51"/>
        <v>502.79999999999995</v>
      </c>
      <c r="Q43" s="241">
        <f t="shared" si="57"/>
        <v>1.7814245810055864</v>
      </c>
      <c r="R43" s="94">
        <f>+'Cash Flow'!O57/'Income - Continuing Ops'!U43</f>
        <v>2.6668994413407825</v>
      </c>
      <c r="S43" s="241">
        <v>1.22</v>
      </c>
      <c r="T43" s="362">
        <v>42.61</v>
      </c>
      <c r="U43" s="110">
        <v>143.19999999999999</v>
      </c>
      <c r="V43" s="389"/>
      <c r="W43" s="95">
        <f t="shared" ref="W43" si="58">Q43</f>
        <v>1.7814245810055864</v>
      </c>
      <c r="X43" s="95">
        <f t="shared" ref="X43" si="59">+R43</f>
        <v>2.6668994413407825</v>
      </c>
      <c r="Y43" s="243">
        <f t="shared" si="53"/>
        <v>1.22</v>
      </c>
      <c r="Z43" s="362">
        <f t="shared" si="54"/>
        <v>42.61</v>
      </c>
    </row>
    <row r="44" spans="1:26" x14ac:dyDescent="0.2">
      <c r="A44" s="447">
        <v>2015</v>
      </c>
      <c r="B44" s="385">
        <v>3917.2</v>
      </c>
      <c r="C44" s="385">
        <f>923.2+8.2</f>
        <v>931.40000000000009</v>
      </c>
      <c r="D44" s="385">
        <f>416.9-3.8-5.6</f>
        <v>407.49999999999994</v>
      </c>
      <c r="E44" s="385">
        <f>20.8-1-5.5</f>
        <v>14.3</v>
      </c>
      <c r="F44" s="119">
        <f t="shared" ref="F44:F46" si="60">C44-D44-E44</f>
        <v>509.60000000000008</v>
      </c>
      <c r="G44" s="385">
        <v>41.1</v>
      </c>
      <c r="H44" s="120">
        <v>4.4000000000000004</v>
      </c>
      <c r="I44" s="119">
        <f>121.8+2.2+4.5+2.4</f>
        <v>130.9</v>
      </c>
      <c r="J44" s="119">
        <f>F44-G44+H44-I44</f>
        <v>342</v>
      </c>
      <c r="K44" s="120"/>
      <c r="L44" s="119">
        <f>+J44+K44</f>
        <v>342</v>
      </c>
      <c r="M44" s="119">
        <v>4.0999999999999996</v>
      </c>
      <c r="N44" s="121">
        <f t="shared" ref="N44:N46" si="61">+L44-M44</f>
        <v>337.9</v>
      </c>
      <c r="O44" s="119">
        <v>113.2</v>
      </c>
      <c r="P44" s="386">
        <f t="shared" ref="P44:P45" si="62">F44+O44</f>
        <v>622.80000000000007</v>
      </c>
      <c r="Q44" s="369">
        <f t="shared" si="57"/>
        <v>2.3645906228131559</v>
      </c>
      <c r="R44" s="123">
        <f>+'Cash Flow'!O58/'Income - Continuing Ops'!U44</f>
        <v>2.5129461161651503</v>
      </c>
      <c r="S44" s="369">
        <v>1.26</v>
      </c>
      <c r="T44" s="370">
        <v>42.02</v>
      </c>
      <c r="U44" s="120">
        <v>142.9</v>
      </c>
      <c r="V44" s="387"/>
      <c r="W44" s="127">
        <f>Q44</f>
        <v>2.3645906228131559</v>
      </c>
      <c r="X44" s="127">
        <f t="shared" ref="X44:X46" si="63">+R44</f>
        <v>2.5129461161651503</v>
      </c>
      <c r="Y44" s="373">
        <f t="shared" ref="Y44:Y46" si="64">+S44</f>
        <v>1.26</v>
      </c>
      <c r="Z44" s="370">
        <f t="shared" ref="Z44:Z46" si="65">T44</f>
        <v>42.02</v>
      </c>
    </row>
    <row r="45" spans="1:26" x14ac:dyDescent="0.2">
      <c r="A45" s="409">
        <v>2016</v>
      </c>
      <c r="B45" s="244">
        <v>3749.9</v>
      </c>
      <c r="C45" s="244">
        <v>899.2</v>
      </c>
      <c r="D45" s="244">
        <f>396.8+6.9</f>
        <v>403.7</v>
      </c>
      <c r="E45" s="244">
        <f>-19.6-3.7+26.9</f>
        <v>3.5999999999999979</v>
      </c>
      <c r="F45" s="108">
        <f t="shared" si="60"/>
        <v>491.90000000000003</v>
      </c>
      <c r="G45" s="244">
        <v>38.799999999999997</v>
      </c>
      <c r="H45" s="110">
        <v>3.9</v>
      </c>
      <c r="I45" s="108">
        <f>120-11.9</f>
        <v>108.1</v>
      </c>
      <c r="J45" s="108">
        <f>F45-G45+H45-I45</f>
        <v>348.9</v>
      </c>
      <c r="K45" s="108"/>
      <c r="L45" s="108">
        <f>+J45+K45</f>
        <v>348.9</v>
      </c>
      <c r="M45" s="108">
        <v>0.4</v>
      </c>
      <c r="N45" s="315">
        <f t="shared" si="61"/>
        <v>348.5</v>
      </c>
      <c r="O45" s="108">
        <v>115.4</v>
      </c>
      <c r="P45" s="388">
        <f t="shared" si="62"/>
        <v>607.30000000000007</v>
      </c>
      <c r="Q45" s="241">
        <f t="shared" si="57"/>
        <v>2.4892857142857143</v>
      </c>
      <c r="R45" s="94">
        <f>+'Cash Flow'!O59/'Income - Continuing Ops'!U45</f>
        <v>3.9471428571428575</v>
      </c>
      <c r="S45" s="94">
        <v>1.34</v>
      </c>
      <c r="T45" s="318">
        <v>48.88</v>
      </c>
      <c r="U45" s="108">
        <v>140</v>
      </c>
      <c r="V45" s="391"/>
      <c r="W45" s="95">
        <f>Q45</f>
        <v>2.4892857142857143</v>
      </c>
      <c r="X45" s="95">
        <f t="shared" si="63"/>
        <v>3.9471428571428575</v>
      </c>
      <c r="Y45" s="95">
        <f t="shared" si="64"/>
        <v>1.34</v>
      </c>
      <c r="Z45" s="318">
        <f t="shared" si="65"/>
        <v>48.88</v>
      </c>
    </row>
    <row r="46" spans="1:26" x14ac:dyDescent="0.2">
      <c r="A46" s="447">
        <v>2017</v>
      </c>
      <c r="B46" s="385">
        <v>3943.8</v>
      </c>
      <c r="C46" s="385">
        <v>880.9</v>
      </c>
      <c r="D46" s="385">
        <v>401.3</v>
      </c>
      <c r="E46" s="385">
        <f>20.7-8.8</f>
        <v>11.899999999999999</v>
      </c>
      <c r="F46" s="119">
        <f t="shared" si="60"/>
        <v>467.7</v>
      </c>
      <c r="G46" s="385">
        <v>43.5</v>
      </c>
      <c r="H46" s="120">
        <v>7.6</v>
      </c>
      <c r="I46" s="119">
        <v>95.9</v>
      </c>
      <c r="J46" s="119">
        <f t="shared" ref="J46" si="66">F46-G46+H46-I46</f>
        <v>335.9</v>
      </c>
      <c r="K46" s="119"/>
      <c r="L46" s="119">
        <f t="shared" ref="L46" si="67">+J46+K46</f>
        <v>335.9</v>
      </c>
      <c r="M46" s="119">
        <v>0.1</v>
      </c>
      <c r="N46" s="121">
        <f t="shared" si="61"/>
        <v>335.79999999999995</v>
      </c>
      <c r="O46" s="119">
        <v>125.9</v>
      </c>
      <c r="P46" s="386">
        <f>F46+O46</f>
        <v>593.6</v>
      </c>
      <c r="Q46" s="369">
        <v>2.46</v>
      </c>
      <c r="R46" s="369">
        <f>+'Cash Flow'!O60/'Income - Continuing Ops'!U46</f>
        <v>3.2316096139839767</v>
      </c>
      <c r="S46" s="123">
        <v>1.42</v>
      </c>
      <c r="T46" s="124">
        <v>47.73</v>
      </c>
      <c r="U46" s="119">
        <v>137.30000000000001</v>
      </c>
      <c r="V46" s="393"/>
      <c r="W46" s="373">
        <f>Q46</f>
        <v>2.46</v>
      </c>
      <c r="X46" s="373">
        <f t="shared" si="63"/>
        <v>3.2316096139839767</v>
      </c>
      <c r="Y46" s="127">
        <f t="shared" si="64"/>
        <v>1.42</v>
      </c>
      <c r="Z46" s="124">
        <f t="shared" si="65"/>
        <v>47.73</v>
      </c>
    </row>
    <row r="47" spans="1:26" x14ac:dyDescent="0.2">
      <c r="A47" s="432"/>
      <c r="B47" s="244"/>
      <c r="C47" s="366"/>
      <c r="D47" s="366"/>
      <c r="E47" s="366"/>
      <c r="F47" s="110"/>
      <c r="G47" s="366"/>
      <c r="H47" s="110"/>
      <c r="I47" s="110"/>
      <c r="J47" s="110"/>
      <c r="K47" s="110"/>
      <c r="L47" s="110"/>
      <c r="M47" s="108"/>
      <c r="N47" s="110"/>
      <c r="O47" s="108"/>
      <c r="P47" s="110"/>
      <c r="Q47" s="241"/>
      <c r="R47" s="241"/>
      <c r="S47" s="241"/>
      <c r="T47" s="241"/>
      <c r="U47" s="110"/>
      <c r="V47" s="242"/>
      <c r="W47" s="243"/>
      <c r="X47" s="243"/>
      <c r="Y47" s="243"/>
      <c r="Z47" s="241"/>
    </row>
    <row r="49" spans="1:36" s="422" customFormat="1" ht="17.25" x14ac:dyDescent="0.25">
      <c r="A49" s="425" t="s">
        <v>227</v>
      </c>
      <c r="B49" s="424"/>
      <c r="C49" s="424"/>
      <c r="D49" s="424"/>
      <c r="E49" s="424"/>
      <c r="F49" s="424"/>
      <c r="G49" s="424"/>
      <c r="H49" s="424"/>
      <c r="I49" s="424"/>
      <c r="J49" s="424"/>
      <c r="K49" s="424"/>
      <c r="L49" s="424"/>
      <c r="M49" s="424"/>
      <c r="N49" s="424"/>
      <c r="O49" s="424"/>
      <c r="P49" s="424"/>
      <c r="Q49" s="424"/>
      <c r="R49" s="424"/>
      <c r="S49" s="424"/>
      <c r="T49" s="424"/>
      <c r="U49" s="424"/>
      <c r="V49" s="424"/>
      <c r="W49" s="424"/>
      <c r="X49" s="424"/>
      <c r="Y49" s="424"/>
      <c r="Z49" s="424"/>
    </row>
    <row r="50" spans="1:36" s="422" customFormat="1" ht="17.25" x14ac:dyDescent="0.25">
      <c r="A50" s="425" t="s">
        <v>236</v>
      </c>
      <c r="B50" s="424"/>
      <c r="C50" s="424"/>
      <c r="D50" s="424"/>
      <c r="E50" s="424"/>
      <c r="F50" s="424"/>
      <c r="G50" s="424"/>
      <c r="H50" s="424"/>
      <c r="I50" s="424"/>
      <c r="J50" s="424"/>
      <c r="K50" s="424"/>
      <c r="L50" s="424"/>
      <c r="M50" s="424"/>
      <c r="N50" s="424"/>
      <c r="O50" s="424"/>
      <c r="P50" s="424"/>
      <c r="Q50" s="424"/>
      <c r="R50" s="424"/>
      <c r="S50" s="424"/>
      <c r="T50" s="424"/>
      <c r="U50" s="424"/>
      <c r="V50" s="424"/>
      <c r="W50" s="424"/>
      <c r="X50" s="424"/>
      <c r="Y50" s="424"/>
      <c r="Z50" s="424"/>
    </row>
    <row r="51" spans="1:36" s="422" customFormat="1" ht="17.25" x14ac:dyDescent="0.25">
      <c r="A51" s="425" t="s">
        <v>240</v>
      </c>
      <c r="B51" s="424"/>
      <c r="C51" s="424"/>
      <c r="D51" s="424"/>
      <c r="E51" s="424"/>
      <c r="F51" s="424"/>
      <c r="G51" s="424"/>
      <c r="H51" s="424"/>
      <c r="I51" s="424"/>
      <c r="J51" s="424"/>
      <c r="K51" s="424"/>
      <c r="L51" s="424"/>
      <c r="M51" s="424"/>
      <c r="N51" s="424"/>
      <c r="O51" s="424"/>
      <c r="P51" s="424"/>
      <c r="Q51" s="424"/>
      <c r="R51" s="424"/>
      <c r="S51" s="424"/>
      <c r="T51" s="424"/>
      <c r="U51" s="424"/>
      <c r="V51" s="424"/>
      <c r="W51" s="424"/>
      <c r="X51" s="424"/>
      <c r="Y51" s="424"/>
      <c r="Z51" s="424"/>
    </row>
    <row r="54" spans="1:36" s="379" customFormat="1" ht="16.5" customHeight="1" x14ac:dyDescent="0.2">
      <c r="A54" s="449"/>
      <c r="B54" s="449"/>
      <c r="C54" s="449"/>
      <c r="D54" s="449"/>
      <c r="E54" s="449"/>
      <c r="F54" s="449"/>
      <c r="G54" s="449"/>
      <c r="H54" s="449"/>
      <c r="I54" s="449"/>
      <c r="J54" s="449"/>
      <c r="K54" s="449"/>
      <c r="L54" s="449"/>
      <c r="M54" s="449"/>
      <c r="N54" s="449"/>
      <c r="O54" s="449"/>
      <c r="P54" s="449"/>
      <c r="Q54" s="449"/>
      <c r="R54" s="449"/>
      <c r="S54" s="449"/>
      <c r="T54" s="449"/>
      <c r="U54" s="449"/>
      <c r="V54" s="449"/>
      <c r="W54" s="449"/>
      <c r="X54" s="449"/>
      <c r="Y54" s="449"/>
    </row>
    <row r="55" spans="1:36" s="19" customFormat="1" x14ac:dyDescent="0.2"/>
    <row r="56" spans="1:36" s="19" customFormat="1" x14ac:dyDescent="0.2"/>
    <row r="57" spans="1:36" s="19" customFormat="1" x14ac:dyDescent="0.2"/>
    <row r="58" spans="1:36" s="19" customFormat="1" ht="13.5" customHeight="1" x14ac:dyDescent="0.2"/>
    <row r="59" spans="1:36" s="88" customFormat="1" x14ac:dyDescent="0.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</row>
    <row r="60" spans="1:36" s="19" customFormat="1" x14ac:dyDescent="0.2"/>
    <row r="61" spans="1:36" s="19" customFormat="1" x14ac:dyDescent="0.2"/>
    <row r="62" spans="1:36" s="19" customFormat="1" x14ac:dyDescent="0.2"/>
    <row r="63" spans="1:36" s="19" customFormat="1" x14ac:dyDescent="0.2"/>
    <row r="64" spans="1:36" s="19" customFormat="1" x14ac:dyDescent="0.2"/>
    <row r="65" s="19" customFormat="1" x14ac:dyDescent="0.2"/>
    <row r="66" s="19" customFormat="1" x14ac:dyDescent="0.2"/>
    <row r="67" s="19" customFormat="1" x14ac:dyDescent="0.2"/>
    <row r="68" s="19" customFormat="1" x14ac:dyDescent="0.2"/>
    <row r="69" s="19" customFormat="1" x14ac:dyDescent="0.2"/>
    <row r="70" s="19" customFormat="1" x14ac:dyDescent="0.2"/>
    <row r="71" s="19" customFormat="1" x14ac:dyDescent="0.2"/>
    <row r="72" s="19" customFormat="1" x14ac:dyDescent="0.2"/>
    <row r="73" s="19" customFormat="1" x14ac:dyDescent="0.2"/>
    <row r="74" s="19" customFormat="1" x14ac:dyDescent="0.2"/>
    <row r="75" s="19" customFormat="1" x14ac:dyDescent="0.2"/>
    <row r="76" s="19" customFormat="1" x14ac:dyDescent="0.2"/>
    <row r="77" s="19" customFormat="1" x14ac:dyDescent="0.2"/>
    <row r="78" s="19" customFormat="1" x14ac:dyDescent="0.2"/>
    <row r="79" s="19" customFormat="1" x14ac:dyDescent="0.2"/>
    <row r="80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x14ac:dyDescent="0.2"/>
    <row r="95" s="19" customFormat="1" x14ac:dyDescent="0.2"/>
    <row r="96" s="19" customFormat="1" x14ac:dyDescent="0.2"/>
    <row r="97" s="19" customFormat="1" x14ac:dyDescent="0.2"/>
    <row r="98" s="19" customFormat="1" x14ac:dyDescent="0.2"/>
    <row r="99" s="19" customFormat="1" x14ac:dyDescent="0.2"/>
    <row r="100" s="19" customFormat="1" x14ac:dyDescent="0.2"/>
    <row r="101" s="19" customFormat="1" x14ac:dyDescent="0.2"/>
    <row r="102" s="19" customFormat="1" x14ac:dyDescent="0.2"/>
    <row r="103" s="19" customFormat="1" x14ac:dyDescent="0.2"/>
    <row r="104" s="19" customFormat="1" x14ac:dyDescent="0.2"/>
    <row r="105" s="19" customFormat="1" x14ac:dyDescent="0.2"/>
    <row r="106" s="19" customFormat="1" x14ac:dyDescent="0.2"/>
    <row r="107" s="19" customFormat="1" x14ac:dyDescent="0.2"/>
    <row r="108" s="19" customFormat="1" x14ac:dyDescent="0.2"/>
    <row r="109" s="19" customFormat="1" x14ac:dyDescent="0.2"/>
    <row r="110" s="19" customFormat="1" x14ac:dyDescent="0.2"/>
    <row r="111" s="19" customFormat="1" x14ac:dyDescent="0.2"/>
    <row r="112" s="19" customFormat="1" x14ac:dyDescent="0.2"/>
    <row r="113" s="19" customFormat="1" x14ac:dyDescent="0.2"/>
    <row r="114" s="19" customFormat="1" x14ac:dyDescent="0.2"/>
    <row r="115" s="19" customFormat="1" x14ac:dyDescent="0.2"/>
    <row r="116" s="19" customFormat="1" x14ac:dyDescent="0.2"/>
    <row r="117" s="19" customFormat="1" x14ac:dyDescent="0.2"/>
    <row r="118" s="19" customFormat="1" x14ac:dyDescent="0.2"/>
    <row r="119" s="19" customFormat="1" x14ac:dyDescent="0.2"/>
    <row r="120" s="19" customFormat="1" x14ac:dyDescent="0.2"/>
    <row r="121" s="19" customFormat="1" x14ac:dyDescent="0.2"/>
    <row r="122" s="19" customFormat="1" x14ac:dyDescent="0.2"/>
    <row r="123" s="19" customFormat="1" x14ac:dyDescent="0.2"/>
    <row r="124" s="19" customFormat="1" x14ac:dyDescent="0.2"/>
    <row r="125" s="19" customFormat="1" x14ac:dyDescent="0.2"/>
    <row r="126" s="19" customFormat="1" x14ac:dyDescent="0.2"/>
    <row r="127" s="19" customFormat="1" x14ac:dyDescent="0.2"/>
    <row r="128" s="19" customFormat="1" x14ac:dyDescent="0.2"/>
    <row r="129" s="19" customFormat="1" x14ac:dyDescent="0.2"/>
    <row r="130" s="19" customFormat="1" x14ac:dyDescent="0.2"/>
    <row r="131" s="19" customFormat="1" x14ac:dyDescent="0.2"/>
    <row r="132" s="19" customFormat="1" x14ac:dyDescent="0.2"/>
    <row r="133" s="19" customFormat="1" x14ac:dyDescent="0.2"/>
    <row r="134" s="19" customFormat="1" x14ac:dyDescent="0.2"/>
    <row r="135" s="19" customFormat="1" x14ac:dyDescent="0.2"/>
    <row r="136" s="19" customFormat="1" x14ac:dyDescent="0.2"/>
    <row r="137" s="19" customFormat="1" x14ac:dyDescent="0.2"/>
    <row r="138" s="19" customFormat="1" x14ac:dyDescent="0.2"/>
    <row r="139" s="19" customFormat="1" x14ac:dyDescent="0.2"/>
    <row r="140" s="19" customFormat="1" x14ac:dyDescent="0.2"/>
    <row r="141" s="19" customFormat="1" x14ac:dyDescent="0.2"/>
    <row r="142" s="19" customFormat="1" x14ac:dyDescent="0.2"/>
    <row r="143" s="19" customFormat="1" x14ac:dyDescent="0.2"/>
    <row r="144" s="19" customFormat="1" x14ac:dyDescent="0.2"/>
    <row r="145" s="19" customFormat="1" x14ac:dyDescent="0.2"/>
    <row r="146" s="19" customFormat="1" x14ac:dyDescent="0.2"/>
    <row r="147" s="19" customFormat="1" x14ac:dyDescent="0.2"/>
    <row r="148" s="19" customFormat="1" x14ac:dyDescent="0.2"/>
    <row r="149" s="19" customFormat="1" x14ac:dyDescent="0.2"/>
    <row r="150" s="19" customFormat="1" x14ac:dyDescent="0.2"/>
    <row r="151" s="19" customFormat="1" x14ac:dyDescent="0.2"/>
    <row r="152" s="19" customFormat="1" x14ac:dyDescent="0.2"/>
    <row r="153" s="19" customFormat="1" x14ac:dyDescent="0.2"/>
    <row r="154" s="19" customFormat="1" x14ac:dyDescent="0.2"/>
    <row r="155" s="19" customFormat="1" x14ac:dyDescent="0.2"/>
    <row r="156" s="19" customFormat="1" x14ac:dyDescent="0.2"/>
    <row r="157" s="19" customFormat="1" x14ac:dyDescent="0.2"/>
    <row r="158" s="19" customFormat="1" x14ac:dyDescent="0.2"/>
    <row r="159" s="19" customFormat="1" x14ac:dyDescent="0.2"/>
    <row r="160" s="19" customFormat="1" x14ac:dyDescent="0.2"/>
    <row r="161" s="19" customFormat="1" x14ac:dyDescent="0.2"/>
    <row r="162" s="19" customFormat="1" x14ac:dyDescent="0.2"/>
    <row r="163" s="19" customFormat="1" x14ac:dyDescent="0.2"/>
    <row r="164" s="19" customFormat="1" x14ac:dyDescent="0.2"/>
    <row r="165" s="19" customFormat="1" x14ac:dyDescent="0.2"/>
    <row r="166" s="19" customFormat="1" x14ac:dyDescent="0.2"/>
    <row r="167" s="19" customFormat="1" x14ac:dyDescent="0.2"/>
    <row r="168" s="19" customFormat="1" x14ac:dyDescent="0.2"/>
    <row r="169" s="19" customFormat="1" x14ac:dyDescent="0.2"/>
    <row r="170" s="19" customFormat="1" x14ac:dyDescent="0.2"/>
    <row r="171" s="19" customFormat="1" x14ac:dyDescent="0.2"/>
    <row r="172" s="19" customFormat="1" x14ac:dyDescent="0.2"/>
    <row r="173" s="19" customFormat="1" x14ac:dyDescent="0.2"/>
    <row r="174" s="19" customFormat="1" x14ac:dyDescent="0.2"/>
    <row r="175" s="19" customFormat="1" x14ac:dyDescent="0.2"/>
    <row r="176" s="19" customFormat="1" x14ac:dyDescent="0.2"/>
    <row r="177" s="19" customFormat="1" x14ac:dyDescent="0.2"/>
    <row r="178" s="19" customFormat="1" x14ac:dyDescent="0.2"/>
    <row r="179" s="19" customFormat="1" x14ac:dyDescent="0.2"/>
    <row r="180" s="19" customFormat="1" x14ac:dyDescent="0.2"/>
    <row r="181" s="19" customFormat="1" x14ac:dyDescent="0.2"/>
    <row r="182" s="19" customFormat="1" x14ac:dyDescent="0.2"/>
    <row r="183" s="19" customFormat="1" x14ac:dyDescent="0.2"/>
    <row r="184" s="19" customFormat="1" x14ac:dyDescent="0.2"/>
    <row r="185" s="19" customFormat="1" x14ac:dyDescent="0.2"/>
    <row r="186" s="19" customFormat="1" x14ac:dyDescent="0.2"/>
    <row r="187" s="19" customFormat="1" x14ac:dyDescent="0.2"/>
    <row r="188" s="19" customFormat="1" x14ac:dyDescent="0.2"/>
    <row r="189" s="19" customFormat="1" x14ac:dyDescent="0.2"/>
    <row r="190" s="19" customFormat="1" x14ac:dyDescent="0.2"/>
    <row r="191" s="19" customFormat="1" x14ac:dyDescent="0.2"/>
    <row r="192" s="19" customFormat="1" x14ac:dyDescent="0.2"/>
    <row r="193" s="19" customFormat="1" x14ac:dyDescent="0.2"/>
    <row r="194" s="19" customFormat="1" x14ac:dyDescent="0.2"/>
    <row r="195" s="19" customFormat="1" x14ac:dyDescent="0.2"/>
    <row r="196" s="19" customFormat="1" x14ac:dyDescent="0.2"/>
    <row r="197" s="19" customFormat="1" x14ac:dyDescent="0.2"/>
    <row r="198" s="19" customFormat="1" x14ac:dyDescent="0.2"/>
    <row r="199" s="19" customFormat="1" x14ac:dyDescent="0.2"/>
    <row r="200" s="19" customFormat="1" x14ac:dyDescent="0.2"/>
    <row r="201" s="19" customFormat="1" x14ac:dyDescent="0.2"/>
    <row r="202" s="19" customFormat="1" x14ac:dyDescent="0.2"/>
    <row r="203" s="19" customFormat="1" x14ac:dyDescent="0.2"/>
    <row r="204" s="19" customFormat="1" x14ac:dyDescent="0.2"/>
    <row r="205" s="19" customFormat="1" x14ac:dyDescent="0.2"/>
    <row r="206" s="19" customFormat="1" x14ac:dyDescent="0.2"/>
    <row r="207" s="19" customFormat="1" x14ac:dyDescent="0.2"/>
    <row r="208" s="19" customFormat="1" x14ac:dyDescent="0.2"/>
    <row r="209" s="19" customFormat="1" x14ac:dyDescent="0.2"/>
    <row r="210" s="19" customFormat="1" x14ac:dyDescent="0.2"/>
    <row r="211" s="19" customFormat="1" x14ac:dyDescent="0.2"/>
    <row r="212" s="19" customFormat="1" x14ac:dyDescent="0.2"/>
    <row r="213" s="19" customFormat="1" x14ac:dyDescent="0.2"/>
    <row r="214" s="19" customFormat="1" x14ac:dyDescent="0.2"/>
    <row r="215" s="19" customFormat="1" x14ac:dyDescent="0.2"/>
    <row r="216" s="19" customFormat="1" x14ac:dyDescent="0.2"/>
    <row r="217" s="19" customFormat="1" x14ac:dyDescent="0.2"/>
    <row r="218" s="19" customFormat="1" x14ac:dyDescent="0.2"/>
    <row r="219" s="19" customFormat="1" x14ac:dyDescent="0.2"/>
    <row r="220" s="19" customFormat="1" x14ac:dyDescent="0.2"/>
    <row r="221" s="19" customFormat="1" x14ac:dyDescent="0.2"/>
    <row r="222" s="19" customFormat="1" x14ac:dyDescent="0.2"/>
    <row r="223" s="19" customFormat="1" x14ac:dyDescent="0.2"/>
    <row r="224" s="19" customFormat="1" x14ac:dyDescent="0.2"/>
    <row r="225" s="19" customFormat="1" x14ac:dyDescent="0.2"/>
    <row r="226" s="19" customFormat="1" x14ac:dyDescent="0.2"/>
    <row r="227" s="19" customFormat="1" x14ac:dyDescent="0.2"/>
    <row r="228" s="19" customFormat="1" x14ac:dyDescent="0.2"/>
    <row r="229" s="19" customFormat="1" x14ac:dyDescent="0.2"/>
    <row r="230" s="19" customFormat="1" x14ac:dyDescent="0.2"/>
    <row r="231" s="19" customFormat="1" x14ac:dyDescent="0.2"/>
    <row r="232" s="19" customFormat="1" x14ac:dyDescent="0.2"/>
    <row r="233" s="19" customFormat="1" x14ac:dyDescent="0.2"/>
    <row r="234" s="19" customFormat="1" x14ac:dyDescent="0.2"/>
    <row r="235" s="19" customFormat="1" x14ac:dyDescent="0.2"/>
    <row r="236" s="19" customFormat="1" x14ac:dyDescent="0.2"/>
    <row r="237" s="19" customFormat="1" x14ac:dyDescent="0.2"/>
    <row r="238" s="19" customFormat="1" x14ac:dyDescent="0.2"/>
    <row r="239" s="19" customFormat="1" x14ac:dyDescent="0.2"/>
    <row r="240" s="19" customFormat="1" x14ac:dyDescent="0.2"/>
    <row r="241" s="19" customFormat="1" x14ac:dyDescent="0.2"/>
    <row r="242" s="19" customFormat="1" x14ac:dyDescent="0.2"/>
    <row r="243" s="19" customFormat="1" x14ac:dyDescent="0.2"/>
    <row r="244" s="19" customFormat="1" x14ac:dyDescent="0.2"/>
    <row r="245" s="19" customFormat="1" x14ac:dyDescent="0.2"/>
    <row r="246" s="19" customFormat="1" x14ac:dyDescent="0.2"/>
    <row r="247" s="19" customFormat="1" x14ac:dyDescent="0.2"/>
    <row r="248" s="19" customFormat="1" x14ac:dyDescent="0.2"/>
    <row r="249" s="19" customFormat="1" x14ac:dyDescent="0.2"/>
    <row r="250" s="19" customFormat="1" x14ac:dyDescent="0.2"/>
    <row r="251" s="19" customFormat="1" x14ac:dyDescent="0.2"/>
    <row r="252" s="19" customFormat="1" x14ac:dyDescent="0.2"/>
    <row r="253" s="19" customFormat="1" x14ac:dyDescent="0.2"/>
    <row r="254" s="19" customFormat="1" x14ac:dyDescent="0.2"/>
    <row r="255" s="19" customFormat="1" x14ac:dyDescent="0.2"/>
    <row r="256" s="19" customFormat="1" x14ac:dyDescent="0.2"/>
    <row r="257" s="19" customFormat="1" x14ac:dyDescent="0.2"/>
    <row r="258" s="19" customFormat="1" x14ac:dyDescent="0.2"/>
    <row r="259" s="19" customFormat="1" x14ac:dyDescent="0.2"/>
    <row r="260" s="19" customFormat="1" x14ac:dyDescent="0.2"/>
    <row r="261" s="19" customFormat="1" x14ac:dyDescent="0.2"/>
    <row r="262" s="19" customFormat="1" x14ac:dyDescent="0.2"/>
    <row r="263" s="19" customFormat="1" x14ac:dyDescent="0.2"/>
    <row r="264" s="19" customFormat="1" x14ac:dyDescent="0.2"/>
    <row r="265" s="19" customFormat="1" x14ac:dyDescent="0.2"/>
    <row r="266" s="19" customFormat="1" x14ac:dyDescent="0.2"/>
    <row r="267" s="19" customFormat="1" x14ac:dyDescent="0.2"/>
    <row r="268" s="19" customFormat="1" x14ac:dyDescent="0.2"/>
    <row r="269" s="19" customFormat="1" x14ac:dyDescent="0.2"/>
    <row r="270" s="19" customFormat="1" x14ac:dyDescent="0.2"/>
    <row r="271" s="19" customFormat="1" x14ac:dyDescent="0.2"/>
    <row r="272" s="19" customFormat="1" x14ac:dyDescent="0.2"/>
    <row r="273" s="19" customFormat="1" x14ac:dyDescent="0.2"/>
    <row r="274" s="19" customFormat="1" x14ac:dyDescent="0.2"/>
    <row r="275" s="19" customFormat="1" x14ac:dyDescent="0.2"/>
    <row r="276" s="19" customFormat="1" x14ac:dyDescent="0.2"/>
    <row r="277" s="19" customFormat="1" x14ac:dyDescent="0.2"/>
    <row r="278" s="19" customFormat="1" x14ac:dyDescent="0.2"/>
    <row r="279" s="19" customFormat="1" x14ac:dyDescent="0.2"/>
    <row r="280" s="19" customFormat="1" x14ac:dyDescent="0.2"/>
    <row r="281" s="19" customFormat="1" x14ac:dyDescent="0.2"/>
    <row r="282" s="19" customFormat="1" x14ac:dyDescent="0.2"/>
    <row r="283" s="19" customFormat="1" x14ac:dyDescent="0.2"/>
    <row r="284" s="19" customFormat="1" x14ac:dyDescent="0.2"/>
    <row r="285" s="19" customFormat="1" x14ac:dyDescent="0.2"/>
    <row r="286" s="19" customFormat="1" x14ac:dyDescent="0.2"/>
    <row r="287" s="19" customFormat="1" x14ac:dyDescent="0.2"/>
    <row r="288" s="19" customFormat="1" x14ac:dyDescent="0.2"/>
    <row r="289" s="19" customFormat="1" x14ac:dyDescent="0.2"/>
    <row r="290" s="19" customFormat="1" x14ac:dyDescent="0.2"/>
    <row r="291" s="19" customFormat="1" x14ac:dyDescent="0.2"/>
    <row r="292" s="19" customFormat="1" x14ac:dyDescent="0.2"/>
    <row r="293" s="19" customFormat="1" x14ac:dyDescent="0.2"/>
    <row r="294" s="19" customFormat="1" x14ac:dyDescent="0.2"/>
    <row r="295" s="19" customFormat="1" x14ac:dyDescent="0.2"/>
    <row r="296" s="19" customFormat="1" x14ac:dyDescent="0.2"/>
    <row r="297" s="19" customFormat="1" x14ac:dyDescent="0.2"/>
    <row r="298" s="19" customFormat="1" x14ac:dyDescent="0.2"/>
    <row r="299" s="19" customFormat="1" x14ac:dyDescent="0.2"/>
    <row r="300" s="19" customFormat="1" x14ac:dyDescent="0.2"/>
    <row r="301" s="19" customFormat="1" x14ac:dyDescent="0.2"/>
    <row r="302" s="19" customFormat="1" x14ac:dyDescent="0.2"/>
    <row r="303" s="19" customFormat="1" x14ac:dyDescent="0.2"/>
    <row r="304" s="19" customFormat="1" x14ac:dyDescent="0.2"/>
    <row r="305" spans="1:25" s="19" customFormat="1" x14ac:dyDescent="0.2"/>
    <row r="306" spans="1:25" s="19" customFormat="1" x14ac:dyDescent="0.2"/>
    <row r="307" spans="1:25" s="19" customFormat="1" x14ac:dyDescent="0.2"/>
    <row r="308" spans="1:25" s="19" customFormat="1" x14ac:dyDescent="0.2"/>
    <row r="309" spans="1:25" s="19" customFormat="1" x14ac:dyDescent="0.2"/>
    <row r="310" spans="1:25" s="19" customFormat="1" x14ac:dyDescent="0.2"/>
    <row r="311" spans="1:25" s="19" customFormat="1" x14ac:dyDescent="0.2"/>
    <row r="312" spans="1:25" s="19" customFormat="1" x14ac:dyDescent="0.2"/>
    <row r="313" spans="1:25" s="19" customFormat="1" x14ac:dyDescent="0.2"/>
    <row r="314" spans="1:25" s="19" customFormat="1" x14ac:dyDescent="0.2"/>
    <row r="315" spans="1:25" s="19" customFormat="1" x14ac:dyDescent="0.2"/>
    <row r="316" spans="1:25" s="19" customFormat="1" x14ac:dyDescent="0.2"/>
    <row r="317" spans="1:25" s="19" customFormat="1" x14ac:dyDescent="0.2"/>
    <row r="318" spans="1:25" s="19" customFormat="1" x14ac:dyDescent="0.2"/>
    <row r="319" spans="1:25" s="19" customFormat="1" x14ac:dyDescent="0.2"/>
    <row r="320" spans="1:25" s="19" customFormat="1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</row>
    <row r="321" spans="1:36" s="19" customFormat="1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</row>
    <row r="322" spans="1:36" s="19" customForma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</row>
    <row r="323" spans="1:36" s="19" customFormat="1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</row>
    <row r="324" spans="1:36" s="19" customFormat="1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</row>
    <row r="325" spans="1:36" s="19" customForma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</row>
  </sheetData>
  <mergeCells count="33">
    <mergeCell ref="Q6:T6"/>
    <mergeCell ref="O6:P6"/>
    <mergeCell ref="O7:O10"/>
    <mergeCell ref="S8:S10"/>
    <mergeCell ref="T8:T10"/>
    <mergeCell ref="L7:L10"/>
    <mergeCell ref="A7:A10"/>
    <mergeCell ref="A29:Z30"/>
    <mergeCell ref="E7:E10"/>
    <mergeCell ref="F7:F10"/>
    <mergeCell ref="P7:P10"/>
    <mergeCell ref="U7:U10"/>
    <mergeCell ref="W7:Z7"/>
    <mergeCell ref="W8:W10"/>
    <mergeCell ref="Q7:T7"/>
    <mergeCell ref="M7:M10"/>
    <mergeCell ref="X8:X10"/>
    <mergeCell ref="A4:Z5"/>
    <mergeCell ref="Z8:Z10"/>
    <mergeCell ref="C7:C10"/>
    <mergeCell ref="B7:B10"/>
    <mergeCell ref="W6:Z6"/>
    <mergeCell ref="K7:K10"/>
    <mergeCell ref="N7:N10"/>
    <mergeCell ref="Y8:Y10"/>
    <mergeCell ref="D7:D10"/>
    <mergeCell ref="U6:V6"/>
    <mergeCell ref="G7:G10"/>
    <mergeCell ref="I7:I10"/>
    <mergeCell ref="Q8:Q10"/>
    <mergeCell ref="R8:R10"/>
    <mergeCell ref="B6:J6"/>
    <mergeCell ref="J7:J10"/>
  </mergeCells>
  <phoneticPr fontId="0" type="noConversion"/>
  <printOptions horizontalCentered="1"/>
  <pageMargins left="0.55000000000000004" right="0.3" top="0.5" bottom="0.25" header="0.4" footer="0.4"/>
  <pageSetup scale="5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Y80"/>
  <sheetViews>
    <sheetView topLeftCell="A2" zoomScaleNormal="100" workbookViewId="0">
      <pane xSplit="1" ySplit="7" topLeftCell="B33" activePane="bottomRight" state="frozen"/>
      <selection activeCell="A2" sqref="A2"/>
      <selection pane="topRight" activeCell="B2" sqref="B2"/>
      <selection pane="bottomLeft" activeCell="A9" sqref="A9"/>
      <selection pane="bottomRight" activeCell="A64" sqref="A64"/>
    </sheetView>
  </sheetViews>
  <sheetFormatPr defaultRowHeight="12.75" x14ac:dyDescent="0.2"/>
  <cols>
    <col min="1" max="1" width="9.28515625" bestFit="1" customWidth="1"/>
    <col min="2" max="2" width="9.5703125" customWidth="1"/>
    <col min="3" max="3" width="8.7109375" customWidth="1"/>
    <col min="4" max="4" width="8.85546875" customWidth="1"/>
    <col min="5" max="5" width="9.7109375" customWidth="1"/>
    <col min="6" max="6" width="8.85546875" customWidth="1"/>
    <col min="7" max="7" width="9.28515625" customWidth="1"/>
    <col min="8" max="8" width="11.42578125" customWidth="1"/>
    <col min="9" max="9" width="6.7109375" bestFit="1" customWidth="1"/>
    <col min="10" max="10" width="9.7109375" customWidth="1"/>
    <col min="11" max="11" width="8.85546875" customWidth="1"/>
    <col min="12" max="12" width="10.7109375" customWidth="1"/>
    <col min="13" max="13" width="6.7109375" customWidth="1"/>
    <col min="14" max="14" width="9.7109375" customWidth="1"/>
    <col min="15" max="15" width="9" customWidth="1"/>
    <col min="16" max="16" width="8.28515625" customWidth="1"/>
    <col min="17" max="17" width="9.42578125" customWidth="1"/>
    <col min="18" max="18" width="9.28515625" bestFit="1" customWidth="1"/>
    <col min="19" max="19" width="9.42578125" bestFit="1" customWidth="1"/>
    <col min="20" max="20" width="9.28515625" bestFit="1" customWidth="1"/>
  </cols>
  <sheetData>
    <row r="1" spans="1:17" hidden="1" x14ac:dyDescent="0.2">
      <c r="P1" s="66"/>
      <c r="Q1" s="4"/>
    </row>
    <row r="2" spans="1:17" ht="30" x14ac:dyDescent="0.4">
      <c r="A2" s="40" t="s">
        <v>249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8"/>
    </row>
    <row r="3" spans="1:17" ht="23.25" customHeight="1" x14ac:dyDescent="0.4">
      <c r="A3" s="41" t="s">
        <v>85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8"/>
    </row>
    <row r="4" spans="1:17" ht="6" customHeight="1" x14ac:dyDescent="0.2">
      <c r="P4" s="75"/>
      <c r="Q4" s="4"/>
    </row>
    <row r="5" spans="1:17" ht="14.25" customHeight="1" x14ac:dyDescent="0.2">
      <c r="A5" s="464" t="s">
        <v>9</v>
      </c>
      <c r="B5" s="473" t="s">
        <v>68</v>
      </c>
      <c r="C5" s="474"/>
      <c r="D5" s="474"/>
      <c r="E5" s="474"/>
      <c r="F5" s="474"/>
      <c r="G5" s="473" t="s">
        <v>69</v>
      </c>
      <c r="H5" s="474"/>
      <c r="I5" s="476"/>
      <c r="J5" s="473" t="s">
        <v>70</v>
      </c>
      <c r="K5" s="474"/>
      <c r="L5" s="474"/>
      <c r="M5" s="476"/>
      <c r="N5" s="473" t="s">
        <v>71</v>
      </c>
      <c r="O5" s="474"/>
      <c r="P5" s="474" t="s">
        <v>72</v>
      </c>
      <c r="Q5" s="476" t="s">
        <v>73</v>
      </c>
    </row>
    <row r="6" spans="1:17" ht="12.75" customHeight="1" x14ac:dyDescent="0.2">
      <c r="A6" s="464"/>
      <c r="B6" s="469" t="s">
        <v>74</v>
      </c>
      <c r="C6" s="464" t="s">
        <v>75</v>
      </c>
      <c r="D6" s="464" t="s">
        <v>76</v>
      </c>
      <c r="E6" s="464" t="s">
        <v>77</v>
      </c>
      <c r="F6" s="464" t="s">
        <v>0</v>
      </c>
      <c r="G6" s="469" t="s">
        <v>78</v>
      </c>
      <c r="H6" s="464" t="s">
        <v>79</v>
      </c>
      <c r="I6" s="461" t="s">
        <v>0</v>
      </c>
      <c r="J6" s="469" t="s">
        <v>80</v>
      </c>
      <c r="K6" s="464" t="s">
        <v>81</v>
      </c>
      <c r="L6" s="464" t="s">
        <v>82</v>
      </c>
      <c r="M6" s="461" t="s">
        <v>0</v>
      </c>
      <c r="N6" s="468" t="s">
        <v>83</v>
      </c>
      <c r="O6" s="464" t="s">
        <v>84</v>
      </c>
      <c r="P6" s="464" t="s">
        <v>72</v>
      </c>
      <c r="Q6" s="460" t="s">
        <v>73</v>
      </c>
    </row>
    <row r="7" spans="1:17" ht="12.75" customHeight="1" x14ac:dyDescent="0.2">
      <c r="A7" s="464"/>
      <c r="B7" s="469"/>
      <c r="C7" s="496"/>
      <c r="D7" s="496"/>
      <c r="E7" s="496"/>
      <c r="F7" s="496"/>
      <c r="G7" s="500"/>
      <c r="H7" s="496"/>
      <c r="I7" s="498"/>
      <c r="J7" s="500"/>
      <c r="K7" s="496"/>
      <c r="L7" s="496"/>
      <c r="M7" s="498"/>
      <c r="N7" s="500"/>
      <c r="O7" s="496"/>
      <c r="P7" s="496"/>
      <c r="Q7" s="498"/>
    </row>
    <row r="8" spans="1:17" ht="13.5" thickBot="1" x14ac:dyDescent="0.25">
      <c r="A8" s="465"/>
      <c r="B8" s="470"/>
      <c r="C8" s="497"/>
      <c r="D8" s="497"/>
      <c r="E8" s="497"/>
      <c r="F8" s="497"/>
      <c r="G8" s="501"/>
      <c r="H8" s="497"/>
      <c r="I8" s="499"/>
      <c r="J8" s="501"/>
      <c r="K8" s="497"/>
      <c r="L8" s="497"/>
      <c r="M8" s="499"/>
      <c r="N8" s="501"/>
      <c r="O8" s="497"/>
      <c r="P8" s="497"/>
      <c r="Q8" s="499"/>
    </row>
    <row r="9" spans="1:17" ht="13.5" customHeight="1" thickBot="1" x14ac:dyDescent="0.25">
      <c r="A9" s="11"/>
      <c r="B9" s="502" t="s">
        <v>14</v>
      </c>
      <c r="C9" s="503"/>
      <c r="D9" s="130"/>
      <c r="E9" s="130"/>
      <c r="F9" s="130"/>
      <c r="G9" s="131"/>
      <c r="H9" s="132"/>
      <c r="I9" s="133"/>
      <c r="J9" s="131"/>
      <c r="K9" s="132"/>
      <c r="L9" s="132"/>
      <c r="M9" s="133"/>
      <c r="N9" s="131"/>
      <c r="O9" s="130"/>
      <c r="P9" s="132"/>
      <c r="Q9" s="134"/>
    </row>
    <row r="10" spans="1:17" ht="13.5" customHeight="1" x14ac:dyDescent="0.2">
      <c r="A10" s="12">
        <v>1967</v>
      </c>
      <c r="B10" s="135"/>
      <c r="C10" s="136"/>
      <c r="D10" s="136"/>
      <c r="E10" s="136"/>
      <c r="F10" s="136"/>
      <c r="G10" s="135"/>
      <c r="H10" s="136"/>
      <c r="I10" s="137"/>
      <c r="J10" s="135"/>
      <c r="K10" s="136"/>
      <c r="L10" s="136"/>
      <c r="M10" s="137"/>
      <c r="N10" s="135">
        <f t="shared" ref="N10:N42" si="0">SUM(B10:M10)</f>
        <v>0</v>
      </c>
      <c r="O10" s="138">
        <v>0.67900000000000005</v>
      </c>
      <c r="P10" s="136">
        <f t="shared" ref="P10:P42" si="1">+O10+G10</f>
        <v>0.67900000000000005</v>
      </c>
      <c r="Q10" s="137">
        <f t="shared" ref="Q10:Q42" si="2">+O10+G10+H10+L10</f>
        <v>0.67900000000000005</v>
      </c>
    </row>
    <row r="11" spans="1:17" ht="13.5" customHeight="1" x14ac:dyDescent="0.2">
      <c r="A11" s="12">
        <v>1968</v>
      </c>
      <c r="B11" s="135"/>
      <c r="C11" s="136"/>
      <c r="D11" s="136"/>
      <c r="E11" s="136"/>
      <c r="F11" s="136"/>
      <c r="G11" s="135"/>
      <c r="H11" s="136"/>
      <c r="I11" s="137"/>
      <c r="J11" s="135"/>
      <c r="K11" s="136"/>
      <c r="L11" s="136"/>
      <c r="M11" s="137"/>
      <c r="N11" s="135">
        <f t="shared" si="0"/>
        <v>0</v>
      </c>
      <c r="O11" s="138">
        <f>0.583+0.335+0.024</f>
        <v>0.94199999999999995</v>
      </c>
      <c r="P11" s="136">
        <f t="shared" si="1"/>
        <v>0.94199999999999995</v>
      </c>
      <c r="Q11" s="137">
        <f t="shared" si="2"/>
        <v>0.94199999999999995</v>
      </c>
    </row>
    <row r="12" spans="1:17" ht="13.5" customHeight="1" x14ac:dyDescent="0.2">
      <c r="A12" s="12">
        <v>1969</v>
      </c>
      <c r="B12" s="135"/>
      <c r="C12" s="136"/>
      <c r="D12" s="136"/>
      <c r="E12" s="136"/>
      <c r="F12" s="136"/>
      <c r="G12" s="135"/>
      <c r="H12" s="136"/>
      <c r="I12" s="137"/>
      <c r="J12" s="135"/>
      <c r="K12" s="136"/>
      <c r="L12" s="136"/>
      <c r="M12" s="137"/>
      <c r="N12" s="135">
        <f t="shared" si="0"/>
        <v>0</v>
      </c>
      <c r="O12" s="138"/>
      <c r="P12" s="136">
        <f t="shared" si="1"/>
        <v>0</v>
      </c>
      <c r="Q12" s="137">
        <f t="shared" si="2"/>
        <v>0</v>
      </c>
    </row>
    <row r="13" spans="1:17" ht="13.5" customHeight="1" x14ac:dyDescent="0.2">
      <c r="A13" s="13">
        <v>1970</v>
      </c>
      <c r="B13" s="139"/>
      <c r="C13" s="140"/>
      <c r="D13" s="140"/>
      <c r="E13" s="140"/>
      <c r="F13" s="140"/>
      <c r="G13" s="139"/>
      <c r="H13" s="140"/>
      <c r="I13" s="141"/>
      <c r="J13" s="139"/>
      <c r="K13" s="140"/>
      <c r="L13" s="140"/>
      <c r="M13" s="141"/>
      <c r="N13" s="139">
        <f t="shared" si="0"/>
        <v>0</v>
      </c>
      <c r="O13" s="142"/>
      <c r="P13" s="140">
        <f t="shared" si="1"/>
        <v>0</v>
      </c>
      <c r="Q13" s="141">
        <f t="shared" si="2"/>
        <v>0</v>
      </c>
    </row>
    <row r="14" spans="1:17" ht="13.5" customHeight="1" x14ac:dyDescent="0.2">
      <c r="A14" s="12">
        <v>1971</v>
      </c>
      <c r="B14" s="135"/>
      <c r="C14" s="136"/>
      <c r="D14" s="136"/>
      <c r="E14" s="136"/>
      <c r="F14" s="136"/>
      <c r="G14" s="135"/>
      <c r="H14" s="136"/>
      <c r="I14" s="137"/>
      <c r="J14" s="135"/>
      <c r="K14" s="136"/>
      <c r="L14" s="136"/>
      <c r="M14" s="137"/>
      <c r="N14" s="135">
        <f t="shared" si="0"/>
        <v>0</v>
      </c>
      <c r="O14" s="138">
        <v>0.7</v>
      </c>
      <c r="P14" s="136">
        <f t="shared" si="1"/>
        <v>0.7</v>
      </c>
      <c r="Q14" s="137">
        <f t="shared" si="2"/>
        <v>0.7</v>
      </c>
    </row>
    <row r="15" spans="1:17" ht="13.5" customHeight="1" x14ac:dyDescent="0.2">
      <c r="A15" s="12">
        <v>1972</v>
      </c>
      <c r="B15" s="135"/>
      <c r="C15" s="136"/>
      <c r="D15" s="136"/>
      <c r="E15" s="136"/>
      <c r="F15" s="136"/>
      <c r="G15" s="135"/>
      <c r="H15" s="136"/>
      <c r="I15" s="137"/>
      <c r="J15" s="135"/>
      <c r="K15" s="136"/>
      <c r="L15" s="136"/>
      <c r="M15" s="137"/>
      <c r="N15" s="135">
        <f t="shared" si="0"/>
        <v>0</v>
      </c>
      <c r="O15" s="138">
        <v>0.4</v>
      </c>
      <c r="P15" s="136">
        <f t="shared" si="1"/>
        <v>0.4</v>
      </c>
      <c r="Q15" s="137">
        <f t="shared" si="2"/>
        <v>0.4</v>
      </c>
    </row>
    <row r="16" spans="1:17" ht="13.5" customHeight="1" x14ac:dyDescent="0.2">
      <c r="A16" s="12">
        <v>1973</v>
      </c>
      <c r="B16" s="135"/>
      <c r="C16" s="136"/>
      <c r="D16" s="136"/>
      <c r="E16" s="136"/>
      <c r="F16" s="136"/>
      <c r="G16" s="135"/>
      <c r="H16" s="136"/>
      <c r="I16" s="137"/>
      <c r="J16" s="135"/>
      <c r="K16" s="136"/>
      <c r="L16" s="136"/>
      <c r="M16" s="137"/>
      <c r="N16" s="135">
        <f t="shared" si="0"/>
        <v>0</v>
      </c>
      <c r="O16" s="138">
        <v>2.9</v>
      </c>
      <c r="P16" s="136">
        <f t="shared" si="1"/>
        <v>2.9</v>
      </c>
      <c r="Q16" s="137">
        <f t="shared" si="2"/>
        <v>2.9</v>
      </c>
    </row>
    <row r="17" spans="1:17" ht="13.5" customHeight="1" x14ac:dyDescent="0.2">
      <c r="A17" s="12">
        <v>1974</v>
      </c>
      <c r="B17" s="135"/>
      <c r="C17" s="136"/>
      <c r="D17" s="136"/>
      <c r="E17" s="136"/>
      <c r="F17" s="136"/>
      <c r="G17" s="135"/>
      <c r="H17" s="136"/>
      <c r="I17" s="137"/>
      <c r="J17" s="135"/>
      <c r="K17" s="136"/>
      <c r="L17" s="136"/>
      <c r="M17" s="137"/>
      <c r="N17" s="135">
        <f t="shared" si="0"/>
        <v>0</v>
      </c>
      <c r="O17" s="138">
        <v>2.5</v>
      </c>
      <c r="P17" s="136">
        <f t="shared" si="1"/>
        <v>2.5</v>
      </c>
      <c r="Q17" s="137">
        <f t="shared" si="2"/>
        <v>2.5</v>
      </c>
    </row>
    <row r="18" spans="1:17" ht="13.5" customHeight="1" x14ac:dyDescent="0.2">
      <c r="A18" s="13">
        <v>1975</v>
      </c>
      <c r="B18" s="139"/>
      <c r="C18" s="140"/>
      <c r="D18" s="140"/>
      <c r="E18" s="140"/>
      <c r="F18" s="140"/>
      <c r="G18" s="139"/>
      <c r="H18" s="140"/>
      <c r="I18" s="141"/>
      <c r="J18" s="139"/>
      <c r="K18" s="140"/>
      <c r="L18" s="140"/>
      <c r="M18" s="141"/>
      <c r="N18" s="139">
        <f t="shared" si="0"/>
        <v>0</v>
      </c>
      <c r="O18" s="140">
        <v>10.1</v>
      </c>
      <c r="P18" s="140">
        <f t="shared" si="1"/>
        <v>10.1</v>
      </c>
      <c r="Q18" s="141">
        <f t="shared" si="2"/>
        <v>10.1</v>
      </c>
    </row>
    <row r="19" spans="1:17" ht="13.5" customHeight="1" x14ac:dyDescent="0.2">
      <c r="A19" s="12">
        <v>1976</v>
      </c>
      <c r="B19" s="135"/>
      <c r="C19" s="136"/>
      <c r="D19" s="136"/>
      <c r="E19" s="136"/>
      <c r="F19" s="136"/>
      <c r="G19" s="135"/>
      <c r="H19" s="136"/>
      <c r="I19" s="137"/>
      <c r="J19" s="135"/>
      <c r="K19" s="136"/>
      <c r="L19" s="136"/>
      <c r="M19" s="137"/>
      <c r="N19" s="135">
        <f t="shared" si="0"/>
        <v>0</v>
      </c>
      <c r="O19" s="136">
        <v>5.3</v>
      </c>
      <c r="P19" s="136">
        <f t="shared" si="1"/>
        <v>5.3</v>
      </c>
      <c r="Q19" s="137">
        <f t="shared" si="2"/>
        <v>5.3</v>
      </c>
    </row>
    <row r="20" spans="1:17" ht="13.5" customHeight="1" x14ac:dyDescent="0.2">
      <c r="A20" s="12">
        <v>1977</v>
      </c>
      <c r="B20" s="135"/>
      <c r="C20" s="136"/>
      <c r="D20" s="136"/>
      <c r="E20" s="136"/>
      <c r="F20" s="136"/>
      <c r="G20" s="135"/>
      <c r="H20" s="136"/>
      <c r="I20" s="137"/>
      <c r="J20" s="135"/>
      <c r="K20" s="136"/>
      <c r="L20" s="136"/>
      <c r="M20" s="137"/>
      <c r="N20" s="135">
        <f t="shared" si="0"/>
        <v>0</v>
      </c>
      <c r="O20" s="136">
        <v>6.7</v>
      </c>
      <c r="P20" s="136">
        <f t="shared" si="1"/>
        <v>6.7</v>
      </c>
      <c r="Q20" s="137">
        <f t="shared" si="2"/>
        <v>6.7</v>
      </c>
    </row>
    <row r="21" spans="1:17" ht="13.5" customHeight="1" x14ac:dyDescent="0.2">
      <c r="A21" s="12">
        <v>1978</v>
      </c>
      <c r="B21" s="135"/>
      <c r="C21" s="136"/>
      <c r="D21" s="136"/>
      <c r="E21" s="136"/>
      <c r="F21" s="136"/>
      <c r="G21" s="135"/>
      <c r="H21" s="136"/>
      <c r="I21" s="137"/>
      <c r="J21" s="135"/>
      <c r="K21" s="136"/>
      <c r="L21" s="136"/>
      <c r="M21" s="137"/>
      <c r="N21" s="135">
        <f t="shared" si="0"/>
        <v>0</v>
      </c>
      <c r="O21" s="136">
        <v>12.5</v>
      </c>
      <c r="P21" s="136">
        <f t="shared" si="1"/>
        <v>12.5</v>
      </c>
      <c r="Q21" s="137">
        <f t="shared" si="2"/>
        <v>12.5</v>
      </c>
    </row>
    <row r="22" spans="1:17" ht="13.5" customHeight="1" x14ac:dyDescent="0.2">
      <c r="A22" s="12">
        <v>1979</v>
      </c>
      <c r="B22" s="135"/>
      <c r="C22" s="136"/>
      <c r="D22" s="136"/>
      <c r="E22" s="136"/>
      <c r="F22" s="136"/>
      <c r="G22" s="135"/>
      <c r="H22" s="136"/>
      <c r="I22" s="137"/>
      <c r="J22" s="135"/>
      <c r="K22" s="136"/>
      <c r="L22" s="136"/>
      <c r="M22" s="137"/>
      <c r="N22" s="135">
        <f t="shared" si="0"/>
        <v>0</v>
      </c>
      <c r="O22" s="136">
        <v>9.1999999999999993</v>
      </c>
      <c r="P22" s="136">
        <f t="shared" si="1"/>
        <v>9.1999999999999993</v>
      </c>
      <c r="Q22" s="137">
        <f t="shared" si="2"/>
        <v>9.1999999999999993</v>
      </c>
    </row>
    <row r="23" spans="1:17" ht="13.5" customHeight="1" x14ac:dyDescent="0.2">
      <c r="A23" s="13">
        <v>1980</v>
      </c>
      <c r="B23" s="139"/>
      <c r="C23" s="140"/>
      <c r="D23" s="140"/>
      <c r="E23" s="140"/>
      <c r="F23" s="140"/>
      <c r="G23" s="139"/>
      <c r="H23" s="140"/>
      <c r="I23" s="141"/>
      <c r="J23" s="139"/>
      <c r="K23" s="140"/>
      <c r="L23" s="140"/>
      <c r="M23" s="141"/>
      <c r="N23" s="139">
        <f t="shared" si="0"/>
        <v>0</v>
      </c>
      <c r="O23" s="140">
        <v>18.7</v>
      </c>
      <c r="P23" s="140">
        <f t="shared" si="1"/>
        <v>18.7</v>
      </c>
      <c r="Q23" s="141">
        <f t="shared" si="2"/>
        <v>18.7</v>
      </c>
    </row>
    <row r="24" spans="1:17" ht="13.5" customHeight="1" x14ac:dyDescent="0.2">
      <c r="A24" s="12">
        <v>1981</v>
      </c>
      <c r="B24" s="135"/>
      <c r="C24" s="136"/>
      <c r="D24" s="136"/>
      <c r="E24" s="136"/>
      <c r="F24" s="136"/>
      <c r="G24" s="135"/>
      <c r="H24" s="136"/>
      <c r="I24" s="137"/>
      <c r="J24" s="135"/>
      <c r="K24" s="136"/>
      <c r="L24" s="136"/>
      <c r="M24" s="137"/>
      <c r="N24" s="135">
        <f t="shared" si="0"/>
        <v>0</v>
      </c>
      <c r="O24" s="136">
        <v>15.7</v>
      </c>
      <c r="P24" s="136">
        <f t="shared" si="1"/>
        <v>15.7</v>
      </c>
      <c r="Q24" s="137">
        <f t="shared" si="2"/>
        <v>15.7</v>
      </c>
    </row>
    <row r="25" spans="1:17" ht="13.5" customHeight="1" x14ac:dyDescent="0.2">
      <c r="A25" s="12">
        <v>1982</v>
      </c>
      <c r="B25" s="135"/>
      <c r="C25" s="136"/>
      <c r="D25" s="136"/>
      <c r="E25" s="136"/>
      <c r="F25" s="136"/>
      <c r="G25" s="135"/>
      <c r="H25" s="136"/>
      <c r="I25" s="137"/>
      <c r="J25" s="135"/>
      <c r="K25" s="136"/>
      <c r="L25" s="136"/>
      <c r="M25" s="137"/>
      <c r="N25" s="135">
        <f t="shared" si="0"/>
        <v>0</v>
      </c>
      <c r="O25" s="136">
        <v>14.1</v>
      </c>
      <c r="P25" s="136">
        <f t="shared" si="1"/>
        <v>14.1</v>
      </c>
      <c r="Q25" s="137">
        <f t="shared" si="2"/>
        <v>14.1</v>
      </c>
    </row>
    <row r="26" spans="1:17" ht="13.5" customHeight="1" x14ac:dyDescent="0.2">
      <c r="A26" s="12">
        <v>1983</v>
      </c>
      <c r="B26" s="135"/>
      <c r="C26" s="143" t="s">
        <v>86</v>
      </c>
      <c r="D26" s="144"/>
      <c r="E26" s="145"/>
      <c r="F26" s="145"/>
      <c r="G26" s="146"/>
      <c r="H26" s="145"/>
      <c r="I26" s="147"/>
      <c r="J26" s="146"/>
      <c r="K26" s="145"/>
      <c r="L26" s="145"/>
      <c r="M26" s="147"/>
      <c r="N26" s="146">
        <f t="shared" si="0"/>
        <v>0</v>
      </c>
      <c r="O26" s="145">
        <v>10.1</v>
      </c>
      <c r="P26" s="145">
        <f t="shared" si="1"/>
        <v>10.1</v>
      </c>
      <c r="Q26" s="147">
        <f t="shared" si="2"/>
        <v>10.1</v>
      </c>
    </row>
    <row r="27" spans="1:17" ht="13.5" customHeight="1" x14ac:dyDescent="0.2">
      <c r="A27" s="12">
        <v>1984</v>
      </c>
      <c r="B27" s="146"/>
      <c r="C27" s="144"/>
      <c r="D27" s="143" t="s">
        <v>135</v>
      </c>
      <c r="E27" s="145"/>
      <c r="F27" s="145"/>
      <c r="G27" s="146"/>
      <c r="H27" s="145"/>
      <c r="I27" s="147"/>
      <c r="J27" s="146"/>
      <c r="K27" s="145"/>
      <c r="L27" s="145"/>
      <c r="M27" s="147"/>
      <c r="N27" s="146">
        <f t="shared" si="0"/>
        <v>0</v>
      </c>
      <c r="O27" s="145">
        <v>25.6</v>
      </c>
      <c r="P27" s="145">
        <f t="shared" si="1"/>
        <v>25.6</v>
      </c>
      <c r="Q27" s="147">
        <f t="shared" si="2"/>
        <v>25.6</v>
      </c>
    </row>
    <row r="28" spans="1:17" ht="13.5" customHeight="1" x14ac:dyDescent="0.2">
      <c r="A28" s="13">
        <v>1985</v>
      </c>
      <c r="B28" s="148"/>
      <c r="C28" s="149"/>
      <c r="D28" s="150" t="s">
        <v>136</v>
      </c>
      <c r="E28" s="149"/>
      <c r="F28" s="149"/>
      <c r="G28" s="148"/>
      <c r="H28" s="149"/>
      <c r="I28" s="151"/>
      <c r="J28" s="148"/>
      <c r="K28" s="149"/>
      <c r="L28" s="149"/>
      <c r="M28" s="151"/>
      <c r="N28" s="148">
        <f t="shared" si="0"/>
        <v>0</v>
      </c>
      <c r="O28" s="149">
        <v>26.2</v>
      </c>
      <c r="P28" s="149">
        <f t="shared" si="1"/>
        <v>26.2</v>
      </c>
      <c r="Q28" s="151">
        <f t="shared" si="2"/>
        <v>26.2</v>
      </c>
    </row>
    <row r="29" spans="1:17" ht="13.5" customHeight="1" x14ac:dyDescent="0.2">
      <c r="A29" s="12">
        <v>1986</v>
      </c>
      <c r="B29" s="146"/>
      <c r="C29" s="145"/>
      <c r="D29" s="145"/>
      <c r="E29" s="145"/>
      <c r="F29" s="145"/>
      <c r="G29" s="146"/>
      <c r="H29" s="145"/>
      <c r="I29" s="147"/>
      <c r="J29" s="146"/>
      <c r="K29" s="145"/>
      <c r="L29" s="145"/>
      <c r="M29" s="147"/>
      <c r="N29" s="146">
        <f t="shared" si="0"/>
        <v>0</v>
      </c>
      <c r="O29" s="145">
        <v>40.11</v>
      </c>
      <c r="P29" s="145">
        <f t="shared" si="1"/>
        <v>40.11</v>
      </c>
      <c r="Q29" s="147">
        <f t="shared" si="2"/>
        <v>40.11</v>
      </c>
    </row>
    <row r="30" spans="1:17" ht="13.5" customHeight="1" x14ac:dyDescent="0.2">
      <c r="A30" s="12">
        <v>1987</v>
      </c>
      <c r="B30" s="146"/>
      <c r="C30" s="145"/>
      <c r="D30" s="145"/>
      <c r="E30" s="145"/>
      <c r="F30" s="145"/>
      <c r="G30" s="146"/>
      <c r="H30" s="145"/>
      <c r="I30" s="147"/>
      <c r="J30" s="146"/>
      <c r="K30" s="145"/>
      <c r="L30" s="145"/>
      <c r="M30" s="147"/>
      <c r="N30" s="146">
        <f t="shared" si="0"/>
        <v>0</v>
      </c>
      <c r="O30" s="145">
        <v>37.835999999999999</v>
      </c>
      <c r="P30" s="145">
        <f t="shared" si="1"/>
        <v>37.835999999999999</v>
      </c>
      <c r="Q30" s="147">
        <f t="shared" si="2"/>
        <v>37.835999999999999</v>
      </c>
    </row>
    <row r="31" spans="1:17" ht="13.5" customHeight="1" x14ac:dyDescent="0.2">
      <c r="A31" s="14">
        <v>1988</v>
      </c>
      <c r="B31" s="146">
        <v>37.700000000000003</v>
      </c>
      <c r="C31" s="145">
        <v>21.65</v>
      </c>
      <c r="D31" s="145">
        <v>2.2469999999999999</v>
      </c>
      <c r="E31" s="145">
        <f>-12.51-17+1.27+7.9-3.61</f>
        <v>-23.949999999999996</v>
      </c>
      <c r="F31" s="145">
        <f>5.547+0.06+2.04-1.976-0.583+0.46</f>
        <v>5.5479999999999992</v>
      </c>
      <c r="G31" s="146">
        <v>-36.299999999999997</v>
      </c>
      <c r="H31" s="145">
        <v>-40.76</v>
      </c>
      <c r="I31" s="147">
        <f>-4.444+2.836+0.019</f>
        <v>-1.5890000000000002</v>
      </c>
      <c r="J31" s="146">
        <f>40.98-21.32</f>
        <v>19.659999999999997</v>
      </c>
      <c r="K31" s="145">
        <f>6.457-2.784</f>
        <v>3.673</v>
      </c>
      <c r="L31" s="145">
        <v>-11.35</v>
      </c>
      <c r="M31" s="147">
        <v>-1.56</v>
      </c>
      <c r="N31" s="146">
        <f t="shared" si="0"/>
        <v>-25.030999999999988</v>
      </c>
      <c r="O31" s="145">
        <f t="shared" ref="O31:O47" si="3">SUM(B31:F31)</f>
        <v>43.195000000000007</v>
      </c>
      <c r="P31" s="145">
        <f t="shared" si="1"/>
        <v>6.8950000000000102</v>
      </c>
      <c r="Q31" s="147">
        <f t="shared" si="2"/>
        <v>-45.214999999999989</v>
      </c>
    </row>
    <row r="32" spans="1:17" ht="13.5" customHeight="1" x14ac:dyDescent="0.2">
      <c r="A32" s="12">
        <v>1989</v>
      </c>
      <c r="B32" s="146">
        <v>45.9</v>
      </c>
      <c r="C32" s="145">
        <v>25.67</v>
      </c>
      <c r="D32" s="145">
        <v>2.7</v>
      </c>
      <c r="E32" s="145">
        <f>-10.33-9.13-1.6+0.41-1.55</f>
        <v>-22.200000000000003</v>
      </c>
      <c r="F32" s="145">
        <f>0.428+2.747-1.314-0.92+1.485-0.359+1.019</f>
        <v>3.0859999999999994</v>
      </c>
      <c r="G32" s="146">
        <v>-28.7</v>
      </c>
      <c r="H32" s="145">
        <v>-33.6</v>
      </c>
      <c r="I32" s="147">
        <f>-5.16+1.74+1.85</f>
        <v>-1.5699999999999998</v>
      </c>
      <c r="J32" s="146">
        <f>66.949-44.582</f>
        <v>22.366999999999997</v>
      </c>
      <c r="K32" s="145">
        <f>5.939-11.155</f>
        <v>-5.2159999999999993</v>
      </c>
      <c r="L32" s="145">
        <v>-12.17</v>
      </c>
      <c r="M32" s="147">
        <v>-0.4</v>
      </c>
      <c r="N32" s="146">
        <f t="shared" si="0"/>
        <v>-4.1330000000000116</v>
      </c>
      <c r="O32" s="145">
        <f t="shared" si="3"/>
        <v>55.155999999999992</v>
      </c>
      <c r="P32" s="145">
        <f t="shared" si="1"/>
        <v>26.455999999999992</v>
      </c>
      <c r="Q32" s="147">
        <f t="shared" si="2"/>
        <v>-19.314000000000007</v>
      </c>
    </row>
    <row r="33" spans="1:25" ht="13.5" customHeight="1" x14ac:dyDescent="0.2">
      <c r="A33" s="15">
        <v>1990</v>
      </c>
      <c r="B33" s="148">
        <v>29.4</v>
      </c>
      <c r="C33" s="149">
        <v>30.2</v>
      </c>
      <c r="D33" s="149">
        <v>4.2</v>
      </c>
      <c r="E33" s="149">
        <f>11.15+0.65-1.51-20.02+0.27</f>
        <v>-9.4599999999999991</v>
      </c>
      <c r="F33" s="149">
        <f>-2.38-5.5-1.57-2.17+2.42+0.26+20.27+0.2</f>
        <v>11.53</v>
      </c>
      <c r="G33" s="148">
        <v>-42.7</v>
      </c>
      <c r="H33" s="149">
        <v>-43.6</v>
      </c>
      <c r="I33" s="151">
        <f>1.27+2.99+0.35</f>
        <v>4.6099999999999994</v>
      </c>
      <c r="J33" s="148">
        <f>71.4-35</f>
        <v>36.400000000000006</v>
      </c>
      <c r="K33" s="149">
        <f>2.86-7.93</f>
        <v>-5.07</v>
      </c>
      <c r="L33" s="149">
        <v>-14.3</v>
      </c>
      <c r="M33" s="151">
        <v>-0.8</v>
      </c>
      <c r="N33" s="148">
        <f t="shared" si="0"/>
        <v>0.40999999999999015</v>
      </c>
      <c r="O33" s="149">
        <f t="shared" si="3"/>
        <v>65.86999999999999</v>
      </c>
      <c r="P33" s="149">
        <f t="shared" si="1"/>
        <v>23.169999999999987</v>
      </c>
      <c r="Q33" s="151">
        <f t="shared" si="2"/>
        <v>-34.730000000000018</v>
      </c>
    </row>
    <row r="34" spans="1:25" ht="13.5" customHeight="1" x14ac:dyDescent="0.2">
      <c r="A34" s="12">
        <v>1991</v>
      </c>
      <c r="B34" s="146">
        <v>39.4</v>
      </c>
      <c r="C34" s="494">
        <v>36.4</v>
      </c>
      <c r="D34" s="495"/>
      <c r="E34" s="145">
        <f>17.3+16.8+2.4-24.9</f>
        <v>11.600000000000001</v>
      </c>
      <c r="F34" s="145">
        <v>0.1</v>
      </c>
      <c r="G34" s="146">
        <v>-33.4</v>
      </c>
      <c r="H34" s="145">
        <v>-9.5</v>
      </c>
      <c r="I34" s="147">
        <f>9.2-0.2-0.4</f>
        <v>8.6</v>
      </c>
      <c r="J34" s="146">
        <f>-36.26+1.82</f>
        <v>-34.44</v>
      </c>
      <c r="K34" s="145">
        <v>0.375</v>
      </c>
      <c r="L34" s="145">
        <v>-14.91</v>
      </c>
      <c r="M34" s="147">
        <v>-2.25</v>
      </c>
      <c r="N34" s="146">
        <f t="shared" si="0"/>
        <v>1.975000000000005</v>
      </c>
      <c r="O34" s="145">
        <f t="shared" si="3"/>
        <v>87.5</v>
      </c>
      <c r="P34" s="145">
        <f t="shared" si="1"/>
        <v>54.1</v>
      </c>
      <c r="Q34" s="147">
        <f t="shared" si="2"/>
        <v>29.69</v>
      </c>
    </row>
    <row r="35" spans="1:25" ht="13.5" customHeight="1" x14ac:dyDescent="0.2">
      <c r="A35" s="14">
        <v>1992</v>
      </c>
      <c r="B35" s="146">
        <v>62.5</v>
      </c>
      <c r="C35" s="494">
        <v>38.200000000000003</v>
      </c>
      <c r="D35" s="495"/>
      <c r="E35" s="145">
        <f>-22.7-1.2+0.8+22.1</f>
        <v>-0.99999999999999645</v>
      </c>
      <c r="F35" s="145">
        <f>-0.9-1.9-1.7-2.4+2.6+1.6+0.3-0.1</f>
        <v>-2.5000000000000009</v>
      </c>
      <c r="G35" s="146">
        <v>-33.200000000000003</v>
      </c>
      <c r="H35" s="145">
        <v>-5.8</v>
      </c>
      <c r="I35" s="147">
        <f>0.8+9.8-4.3</f>
        <v>6.3000000000000016</v>
      </c>
      <c r="J35" s="146">
        <f>35.8-78.5</f>
        <v>-42.7</v>
      </c>
      <c r="K35" s="145">
        <f>1.5-3.1</f>
        <v>-1.6</v>
      </c>
      <c r="L35" s="145">
        <v>-21.1</v>
      </c>
      <c r="M35" s="147">
        <v>-0.4</v>
      </c>
      <c r="N35" s="146">
        <f t="shared" si="0"/>
        <v>-1.3000000000000056</v>
      </c>
      <c r="O35" s="145">
        <f t="shared" si="3"/>
        <v>97.2</v>
      </c>
      <c r="P35" s="145">
        <f t="shared" si="1"/>
        <v>64</v>
      </c>
      <c r="Q35" s="147">
        <f t="shared" si="2"/>
        <v>37.1</v>
      </c>
    </row>
    <row r="36" spans="1:25" ht="13.5" customHeight="1" x14ac:dyDescent="0.2">
      <c r="A36" s="17">
        <v>1993</v>
      </c>
      <c r="B36" s="146">
        <v>85.9</v>
      </c>
      <c r="C36" s="145">
        <v>39.1</v>
      </c>
      <c r="D36" s="145">
        <v>6.2</v>
      </c>
      <c r="E36" s="145">
        <f>-9.2-6.8-2.9+23.3</f>
        <v>4.4000000000000021</v>
      </c>
      <c r="F36" s="145">
        <f>2.4+8.6-2-0.7+1.8</f>
        <v>10.100000000000001</v>
      </c>
      <c r="G36" s="146">
        <v>-54.2</v>
      </c>
      <c r="H36" s="145">
        <v>-78</v>
      </c>
      <c r="I36" s="147">
        <v>2.8</v>
      </c>
      <c r="J36" s="146">
        <f>58.1-57.8</f>
        <v>0.30000000000000426</v>
      </c>
      <c r="K36" s="145">
        <v>1.5</v>
      </c>
      <c r="L36" s="145">
        <v>-21.1</v>
      </c>
      <c r="M36" s="147">
        <v>-1.8</v>
      </c>
      <c r="N36" s="146">
        <f t="shared" si="0"/>
        <v>-4.8000000000000105</v>
      </c>
      <c r="O36" s="145">
        <f t="shared" si="3"/>
        <v>145.69999999999999</v>
      </c>
      <c r="P36" s="145">
        <f t="shared" si="1"/>
        <v>91.499999999999986</v>
      </c>
      <c r="Q36" s="147">
        <f t="shared" si="2"/>
        <v>-7.6000000000000156</v>
      </c>
    </row>
    <row r="37" spans="1:25" ht="13.5" customHeight="1" x14ac:dyDescent="0.2">
      <c r="A37" s="12">
        <v>1994</v>
      </c>
      <c r="B37" s="146">
        <v>115.4</v>
      </c>
      <c r="C37" s="145">
        <v>48.8</v>
      </c>
      <c r="D37" s="145">
        <v>8.1</v>
      </c>
      <c r="E37" s="145">
        <f>-29.1-22.2-4.9+61.5</f>
        <v>5.3000000000000043</v>
      </c>
      <c r="F37" s="145">
        <v>-4.5999999999999996</v>
      </c>
      <c r="G37" s="146">
        <v>-88.5</v>
      </c>
      <c r="H37" s="145">
        <v>-78.8</v>
      </c>
      <c r="I37" s="147">
        <v>0.7</v>
      </c>
      <c r="J37" s="146">
        <f>49.1-29.6</f>
        <v>19.5</v>
      </c>
      <c r="K37" s="145">
        <v>1.1000000000000001</v>
      </c>
      <c r="L37" s="145">
        <v>-25.4</v>
      </c>
      <c r="M37" s="147">
        <v>0.7</v>
      </c>
      <c r="N37" s="146">
        <f t="shared" si="0"/>
        <v>2.3000000000000052</v>
      </c>
      <c r="O37" s="145">
        <f t="shared" si="3"/>
        <v>173</v>
      </c>
      <c r="P37" s="145">
        <f t="shared" si="1"/>
        <v>84.5</v>
      </c>
      <c r="Q37" s="147">
        <f t="shared" si="2"/>
        <v>-19.699999999999996</v>
      </c>
    </row>
    <row r="38" spans="1:25" ht="13.5" customHeight="1" x14ac:dyDescent="0.2">
      <c r="A38" s="13">
        <v>1995</v>
      </c>
      <c r="B38" s="148">
        <v>134.9</v>
      </c>
      <c r="C38" s="149">
        <v>58</v>
      </c>
      <c r="D38" s="149">
        <v>9.1</v>
      </c>
      <c r="E38" s="149">
        <f>11.4-14.8-0.7+6.1</f>
        <v>1.9999999999999991</v>
      </c>
      <c r="F38" s="149">
        <v>-0.8</v>
      </c>
      <c r="G38" s="148">
        <v>-93.9</v>
      </c>
      <c r="H38" s="149">
        <v>-28.7</v>
      </c>
      <c r="I38" s="151">
        <v>-0.6</v>
      </c>
      <c r="J38" s="148">
        <f>62.5-83.2</f>
        <v>-20.700000000000003</v>
      </c>
      <c r="K38" s="149">
        <f>3-24.5</f>
        <v>-21.5</v>
      </c>
      <c r="L38" s="149">
        <v>-31.9</v>
      </c>
      <c r="M38" s="151">
        <v>-1.9</v>
      </c>
      <c r="N38" s="148">
        <f t="shared" si="0"/>
        <v>3.9999999999999845</v>
      </c>
      <c r="O38" s="149">
        <f t="shared" si="3"/>
        <v>203.2</v>
      </c>
      <c r="P38" s="149">
        <f t="shared" si="1"/>
        <v>109.29999999999998</v>
      </c>
      <c r="Q38" s="151">
        <f t="shared" si="2"/>
        <v>48.699999999999982</v>
      </c>
    </row>
    <row r="39" spans="1:25" ht="13.5" customHeight="1" x14ac:dyDescent="0.2">
      <c r="A39" s="12">
        <v>1996</v>
      </c>
      <c r="B39" s="146">
        <v>140.5</v>
      </c>
      <c r="C39" s="145">
        <v>75.8</v>
      </c>
      <c r="D39" s="145">
        <v>16.399999999999999</v>
      </c>
      <c r="E39" s="145">
        <f>-17-10.3+0.7+2.3</f>
        <v>-24.3</v>
      </c>
      <c r="F39" s="145">
        <f>24.4+4+14.2-13.4+0.5</f>
        <v>29.699999999999996</v>
      </c>
      <c r="G39" s="146">
        <v>-96.2</v>
      </c>
      <c r="H39" s="145">
        <v>-89.7</v>
      </c>
      <c r="I39" s="147">
        <v>-3.1</v>
      </c>
      <c r="J39" s="146">
        <f>292.9-309.4</f>
        <v>-16.5</v>
      </c>
      <c r="K39" s="145">
        <f>5-10.1</f>
        <v>-5.0999999999999996</v>
      </c>
      <c r="L39" s="145">
        <v>-30.3</v>
      </c>
      <c r="M39" s="147">
        <v>-1.7</v>
      </c>
      <c r="N39" s="146">
        <f t="shared" si="0"/>
        <v>-4.5000000000000293</v>
      </c>
      <c r="O39" s="145">
        <f t="shared" si="3"/>
        <v>238.1</v>
      </c>
      <c r="P39" s="145">
        <f t="shared" si="1"/>
        <v>141.89999999999998</v>
      </c>
      <c r="Q39" s="147">
        <f t="shared" si="2"/>
        <v>21.899999999999974</v>
      </c>
    </row>
    <row r="40" spans="1:25" ht="13.5" customHeight="1" x14ac:dyDescent="0.2">
      <c r="A40" s="12">
        <v>1997</v>
      </c>
      <c r="B40" s="146">
        <v>208.3</v>
      </c>
      <c r="C40" s="145">
        <v>88.3</v>
      </c>
      <c r="D40" s="145">
        <v>17.3</v>
      </c>
      <c r="E40" s="145">
        <f>-52.1-15-5.1+42.3</f>
        <v>-29.899999999999991</v>
      </c>
      <c r="F40" s="145">
        <f>7.9-1.5-2.1</f>
        <v>4.3000000000000007</v>
      </c>
      <c r="G40" s="146">
        <v>-119.4</v>
      </c>
      <c r="H40" s="145">
        <v>-171.6</v>
      </c>
      <c r="I40" s="147">
        <v>8.1999999999999993</v>
      </c>
      <c r="J40" s="146">
        <f>214.8-164.7</f>
        <v>50.100000000000023</v>
      </c>
      <c r="K40" s="145">
        <f>6.6-5.7</f>
        <v>0.89999999999999947</v>
      </c>
      <c r="L40" s="145">
        <v>-48</v>
      </c>
      <c r="M40" s="147">
        <v>-4.5</v>
      </c>
      <c r="N40" s="146">
        <f t="shared" si="0"/>
        <v>4.0000000000000924</v>
      </c>
      <c r="O40" s="145">
        <f t="shared" si="3"/>
        <v>288.30000000000007</v>
      </c>
      <c r="P40" s="145">
        <f t="shared" si="1"/>
        <v>168.90000000000006</v>
      </c>
      <c r="Q40" s="147">
        <f t="shared" si="2"/>
        <v>-50.699999999999932</v>
      </c>
    </row>
    <row r="41" spans="1:25" ht="13.5" customHeight="1" x14ac:dyDescent="0.2">
      <c r="A41" s="12">
        <v>1998</v>
      </c>
      <c r="B41" s="146">
        <v>248</v>
      </c>
      <c r="C41" s="145">
        <v>106.1</v>
      </c>
      <c r="D41" s="145">
        <v>21.8</v>
      </c>
      <c r="E41" s="145">
        <f>-31.5-6.6-7.2-0.2</f>
        <v>-45.500000000000007</v>
      </c>
      <c r="F41" s="145">
        <f>10.8+17.3-3.6</f>
        <v>24.5</v>
      </c>
      <c r="G41" s="146">
        <v>-147.6</v>
      </c>
      <c r="H41" s="145">
        <v>-117.1</v>
      </c>
      <c r="I41" s="147">
        <v>6.7</v>
      </c>
      <c r="J41" s="146">
        <f>269.7-216.9</f>
        <v>52.799999999999983</v>
      </c>
      <c r="K41" s="145">
        <f>5-13.5</f>
        <v>-8.5</v>
      </c>
      <c r="L41" s="145">
        <v>-59.9</v>
      </c>
      <c r="M41" s="147">
        <v>-5.5</v>
      </c>
      <c r="N41" s="146">
        <f t="shared" si="0"/>
        <v>75.80000000000004</v>
      </c>
      <c r="O41" s="145">
        <f t="shared" si="3"/>
        <v>354.90000000000003</v>
      </c>
      <c r="P41" s="145">
        <f t="shared" si="1"/>
        <v>207.30000000000004</v>
      </c>
      <c r="Q41" s="147">
        <f t="shared" si="2"/>
        <v>30.300000000000047</v>
      </c>
    </row>
    <row r="42" spans="1:25" ht="13.5" customHeight="1" x14ac:dyDescent="0.2">
      <c r="A42" s="12">
        <v>1999</v>
      </c>
      <c r="B42" s="146">
        <v>290.5</v>
      </c>
      <c r="C42" s="145">
        <v>120.5</v>
      </c>
      <c r="D42" s="145">
        <v>28.8</v>
      </c>
      <c r="E42" s="145">
        <f>5-74-4.7+15.7</f>
        <v>-58</v>
      </c>
      <c r="F42" s="145">
        <v>-11</v>
      </c>
      <c r="G42" s="146">
        <v>-159.1</v>
      </c>
      <c r="H42" s="145">
        <v>-290.10000000000002</v>
      </c>
      <c r="I42" s="147">
        <v>8.1999999999999993</v>
      </c>
      <c r="J42" s="146">
        <f>255.6-98.6</f>
        <v>157</v>
      </c>
      <c r="K42" s="145">
        <f>4-81.5</f>
        <v>-77.5</v>
      </c>
      <c r="L42" s="145">
        <v>-69.099999999999994</v>
      </c>
      <c r="M42" s="147">
        <v>-3.1</v>
      </c>
      <c r="N42" s="146">
        <f t="shared" si="0"/>
        <v>-62.9</v>
      </c>
      <c r="O42" s="145">
        <f t="shared" si="3"/>
        <v>370.8</v>
      </c>
      <c r="P42" s="145">
        <f t="shared" si="1"/>
        <v>211.70000000000002</v>
      </c>
      <c r="Q42" s="147">
        <f t="shared" si="2"/>
        <v>-147.5</v>
      </c>
    </row>
    <row r="43" spans="1:25" s="4" customFormat="1" ht="13.5" customHeight="1" x14ac:dyDescent="0.2">
      <c r="A43" s="13">
        <v>2000</v>
      </c>
      <c r="B43" s="148">
        <v>264.10000000000002</v>
      </c>
      <c r="C43" s="149">
        <v>139.19999999999999</v>
      </c>
      <c r="D43" s="149">
        <v>34.1</v>
      </c>
      <c r="E43" s="149">
        <f>-2.7-8.7-1.7+5.2</f>
        <v>-7.8999999999999977</v>
      </c>
      <c r="F43" s="149">
        <f>13.1-1.8</f>
        <v>11.299999999999999</v>
      </c>
      <c r="G43" s="148">
        <v>-169.7</v>
      </c>
      <c r="H43" s="149">
        <v>-252.3</v>
      </c>
      <c r="I43" s="151">
        <v>-15.2</v>
      </c>
      <c r="J43" s="148">
        <f>398.4-252.9</f>
        <v>145.49999999999997</v>
      </c>
      <c r="K43" s="149">
        <f>4.7-53.9</f>
        <v>-49.199999999999996</v>
      </c>
      <c r="L43" s="149">
        <v>-78.599999999999994</v>
      </c>
      <c r="M43" s="151">
        <v>-4.5999999999999996</v>
      </c>
      <c r="N43" s="148">
        <f t="shared" ref="N43:N48" si="4">SUM(B43:M43)</f>
        <v>16.700000000000067</v>
      </c>
      <c r="O43" s="149">
        <f t="shared" si="3"/>
        <v>440.80000000000007</v>
      </c>
      <c r="P43" s="149">
        <f t="shared" ref="P43:P48" si="5">+O43+G43</f>
        <v>271.10000000000008</v>
      </c>
      <c r="Q43" s="151">
        <f t="shared" ref="Q43:Q48" si="6">+O43+G43+H43+L43</f>
        <v>-59.799999999999926</v>
      </c>
      <c r="R43"/>
    </row>
    <row r="44" spans="1:25" s="4" customFormat="1" ht="13.5" customHeight="1" x14ac:dyDescent="0.2">
      <c r="A44" s="12">
        <v>2001</v>
      </c>
      <c r="B44" s="146">
        <v>187.6</v>
      </c>
      <c r="C44" s="145">
        <v>156.69999999999999</v>
      </c>
      <c r="D44" s="145">
        <v>39.9</v>
      </c>
      <c r="E44" s="145">
        <v>181.6</v>
      </c>
      <c r="F44" s="145">
        <v>-31.3</v>
      </c>
      <c r="G44" s="146">
        <v>-128</v>
      </c>
      <c r="H44" s="145">
        <v>-95.1</v>
      </c>
      <c r="I44" s="147">
        <v>41.9</v>
      </c>
      <c r="J44" s="146">
        <f>49.1-108.7</f>
        <v>-59.6</v>
      </c>
      <c r="K44" s="145">
        <f>11.9-63.2</f>
        <v>-51.300000000000004</v>
      </c>
      <c r="L44" s="145">
        <v>-92.5</v>
      </c>
      <c r="M44" s="147">
        <v>0</v>
      </c>
      <c r="N44" s="146">
        <f t="shared" si="4"/>
        <v>149.89999999999992</v>
      </c>
      <c r="O44" s="145">
        <f t="shared" si="3"/>
        <v>534.5</v>
      </c>
      <c r="P44" s="145">
        <f t="shared" si="5"/>
        <v>406.5</v>
      </c>
      <c r="Q44" s="147">
        <f t="shared" si="6"/>
        <v>218.89999999999998</v>
      </c>
      <c r="R44"/>
      <c r="S44"/>
      <c r="T44"/>
      <c r="V44"/>
      <c r="X44" s="3"/>
      <c r="Y44" s="3"/>
    </row>
    <row r="45" spans="1:25" s="4" customFormat="1" ht="13.5" customHeight="1" x14ac:dyDescent="0.2">
      <c r="A45" s="12">
        <v>2002</v>
      </c>
      <c r="B45" s="146">
        <v>233.1</v>
      </c>
      <c r="C45" s="145">
        <v>154.4</v>
      </c>
      <c r="D45" s="145">
        <v>10.199999999999999</v>
      </c>
      <c r="E45" s="145">
        <v>32.4</v>
      </c>
      <c r="F45" s="147">
        <v>25.8</v>
      </c>
      <c r="G45" s="145">
        <v>-124</v>
      </c>
      <c r="H45" s="145">
        <v>-45.6</v>
      </c>
      <c r="I45" s="147">
        <v>23.3</v>
      </c>
      <c r="J45" s="145">
        <f>15.7-110.7</f>
        <v>-95</v>
      </c>
      <c r="K45" s="145">
        <v>-80.5</v>
      </c>
      <c r="L45" s="145">
        <v>-96.3</v>
      </c>
      <c r="M45" s="147">
        <v>0</v>
      </c>
      <c r="N45" s="146">
        <f t="shared" si="4"/>
        <v>37.799999999999969</v>
      </c>
      <c r="O45" s="145">
        <f t="shared" si="3"/>
        <v>455.9</v>
      </c>
      <c r="P45" s="145">
        <f t="shared" si="5"/>
        <v>331.9</v>
      </c>
      <c r="Q45" s="147">
        <f t="shared" si="6"/>
        <v>189.99999999999994</v>
      </c>
      <c r="S45"/>
      <c r="T45"/>
      <c r="V45"/>
    </row>
    <row r="46" spans="1:25" s="4" customFormat="1" ht="13.5" customHeight="1" x14ac:dyDescent="0.2">
      <c r="A46" s="77">
        <v>2003</v>
      </c>
      <c r="B46" s="145">
        <v>205.9</v>
      </c>
      <c r="C46" s="145">
        <v>158.6</v>
      </c>
      <c r="D46" s="145">
        <v>8.4</v>
      </c>
      <c r="E46" s="145">
        <v>-0.8</v>
      </c>
      <c r="F46" s="147">
        <v>23.2</v>
      </c>
      <c r="G46" s="145">
        <v>-136.6</v>
      </c>
      <c r="H46" s="145">
        <v>-120.4</v>
      </c>
      <c r="I46" s="147">
        <v>50.9</v>
      </c>
      <c r="J46" s="145">
        <v>211.4</v>
      </c>
      <c r="K46" s="145">
        <v>-79</v>
      </c>
      <c r="L46" s="145">
        <v>-102.7</v>
      </c>
      <c r="M46" s="147">
        <v>0</v>
      </c>
      <c r="N46" s="146">
        <f t="shared" si="4"/>
        <v>218.89999999999992</v>
      </c>
      <c r="O46" s="145">
        <f t="shared" si="3"/>
        <v>395.29999999999995</v>
      </c>
      <c r="P46" s="145">
        <f t="shared" si="5"/>
        <v>258.69999999999993</v>
      </c>
      <c r="Q46" s="147">
        <f t="shared" si="6"/>
        <v>35.599999999999923</v>
      </c>
      <c r="S46"/>
      <c r="T46"/>
      <c r="V46"/>
      <c r="Y46"/>
    </row>
    <row r="47" spans="1:25" s="4" customFormat="1" ht="13.5" customHeight="1" x14ac:dyDescent="0.2">
      <c r="A47" s="77">
        <v>2004</v>
      </c>
      <c r="B47" s="108">
        <v>285.39999999999998</v>
      </c>
      <c r="C47" s="108">
        <v>166.7</v>
      </c>
      <c r="D47" s="108">
        <v>10.5</v>
      </c>
      <c r="E47" s="108">
        <v>-114.5</v>
      </c>
      <c r="F47" s="111">
        <v>-5.6</v>
      </c>
      <c r="G47" s="108">
        <v>-157.1</v>
      </c>
      <c r="H47" s="108">
        <v>-46.4</v>
      </c>
      <c r="I47" s="111">
        <v>33.1</v>
      </c>
      <c r="J47" s="108">
        <v>59</v>
      </c>
      <c r="K47" s="108">
        <v>-73.753999999999991</v>
      </c>
      <c r="L47" s="108">
        <v>-109.9</v>
      </c>
      <c r="M47" s="147">
        <v>0</v>
      </c>
      <c r="N47" s="146">
        <f t="shared" si="4"/>
        <v>47.445999999999941</v>
      </c>
      <c r="O47" s="145">
        <f t="shared" si="3"/>
        <v>342.49999999999994</v>
      </c>
      <c r="P47" s="145">
        <f t="shared" si="5"/>
        <v>185.39999999999995</v>
      </c>
      <c r="Q47" s="147">
        <f t="shared" si="6"/>
        <v>29.099999999999937</v>
      </c>
      <c r="S47"/>
      <c r="T47"/>
      <c r="V47"/>
    </row>
    <row r="48" spans="1:25" s="4" customFormat="1" ht="13.5" customHeight="1" x14ac:dyDescent="0.2">
      <c r="A48" s="13">
        <v>2005</v>
      </c>
      <c r="B48" s="230">
        <v>251.3</v>
      </c>
      <c r="C48" s="231">
        <f>160.8</f>
        <v>160.80000000000001</v>
      </c>
      <c r="D48" s="231">
        <f>10.3</f>
        <v>10.3</v>
      </c>
      <c r="E48" s="231">
        <v>9.1</v>
      </c>
      <c r="F48" s="231">
        <v>16.8</v>
      </c>
      <c r="G48" s="230">
        <v>-164.2</v>
      </c>
      <c r="H48" s="231">
        <v>-181</v>
      </c>
      <c r="I48" s="232">
        <f>14.9-8.2-3.9</f>
        <v>2.8000000000000012</v>
      </c>
      <c r="J48" s="230">
        <f>246-433</f>
        <v>-187</v>
      </c>
      <c r="K48" s="231">
        <v>-226.9</v>
      </c>
      <c r="L48" s="231">
        <v>-118.4</v>
      </c>
      <c r="M48" s="232">
        <v>0</v>
      </c>
      <c r="N48" s="230">
        <f t="shared" si="4"/>
        <v>-426.4</v>
      </c>
      <c r="O48" s="231">
        <f t="shared" ref="O48:O53" si="7">SUM(B48:F48)</f>
        <v>448.30000000000007</v>
      </c>
      <c r="P48" s="231">
        <f t="shared" si="5"/>
        <v>284.10000000000008</v>
      </c>
      <c r="Q48" s="232">
        <f t="shared" si="6"/>
        <v>-15.299999999999926</v>
      </c>
      <c r="R48"/>
    </row>
    <row r="49" spans="1:18" s="4" customFormat="1" ht="13.5" customHeight="1" x14ac:dyDescent="0.2">
      <c r="A49" s="12">
        <v>2006</v>
      </c>
      <c r="B49" s="146">
        <v>300.3</v>
      </c>
      <c r="C49" s="145">
        <v>156.6</v>
      </c>
      <c r="D49" s="145">
        <v>18.8</v>
      </c>
      <c r="E49" s="239">
        <f>11.1-61.2-2.9-5.3-5.7</f>
        <v>-64</v>
      </c>
      <c r="F49" s="147">
        <f>4.3+10.7-10.3+5.3+48.6+8.6</f>
        <v>67.2</v>
      </c>
      <c r="G49" s="146">
        <v>-166.3</v>
      </c>
      <c r="H49" s="145">
        <v>-83.2</v>
      </c>
      <c r="I49" s="147">
        <f>31.8-13.8</f>
        <v>18</v>
      </c>
      <c r="J49" s="146">
        <f>187-114</f>
        <v>73</v>
      </c>
      <c r="K49" s="145">
        <f>10.6-150.3</f>
        <v>-139.70000000000002</v>
      </c>
      <c r="L49" s="145">
        <v>-121.1</v>
      </c>
      <c r="M49" s="147">
        <f>1.7+5.7</f>
        <v>7.4</v>
      </c>
      <c r="N49" s="146">
        <f t="shared" ref="N49:N54" si="8">SUM(B49:M49)</f>
        <v>66.999999999999972</v>
      </c>
      <c r="O49" s="145">
        <f t="shared" si="7"/>
        <v>478.9</v>
      </c>
      <c r="P49" s="145">
        <f t="shared" ref="P49:P54" si="9">+O49+G49</f>
        <v>312.59999999999997</v>
      </c>
      <c r="Q49" s="147">
        <f t="shared" ref="Q49:Q54" si="10">+O49+G49+H49+L49</f>
        <v>108.29999999999998</v>
      </c>
      <c r="R49"/>
    </row>
    <row r="50" spans="1:18" s="4" customFormat="1" ht="13.5" customHeight="1" x14ac:dyDescent="0.2">
      <c r="A50" s="12">
        <v>2007</v>
      </c>
      <c r="B50" s="146">
        <v>-11.2</v>
      </c>
      <c r="C50" s="145">
        <v>156.9</v>
      </c>
      <c r="D50" s="145">
        <v>26.5</v>
      </c>
      <c r="E50" s="145">
        <f>98.9+65.5+10.5+13-6.2</f>
        <v>181.70000000000002</v>
      </c>
      <c r="F50" s="147">
        <f>243+44.1+22.5-35.8-56.1+49-6.9</f>
        <v>259.80000000000007</v>
      </c>
      <c r="G50" s="145">
        <v>-148.80000000000001</v>
      </c>
      <c r="H50" s="145">
        <v>-111.3</v>
      </c>
      <c r="I50" s="147">
        <f>111.9-9.8</f>
        <v>102.10000000000001</v>
      </c>
      <c r="J50" s="145">
        <f>154.5-188.5</f>
        <v>-34</v>
      </c>
      <c r="K50" s="145">
        <f>7.2-237.1</f>
        <v>-229.9</v>
      </c>
      <c r="L50" s="145">
        <v>-124.8</v>
      </c>
      <c r="M50" s="147">
        <f>+-2.8+9.3</f>
        <v>6.5000000000000009</v>
      </c>
      <c r="N50" s="146">
        <f t="shared" si="8"/>
        <v>73.500000000000043</v>
      </c>
      <c r="O50" s="145">
        <f t="shared" si="7"/>
        <v>613.70000000000005</v>
      </c>
      <c r="P50" s="145">
        <f t="shared" si="9"/>
        <v>464.90000000000003</v>
      </c>
      <c r="Q50" s="147">
        <f t="shared" si="10"/>
        <v>228.8</v>
      </c>
    </row>
    <row r="51" spans="1:18" s="4" customFormat="1" ht="13.5" customHeight="1" x14ac:dyDescent="0.2">
      <c r="A51" s="77">
        <v>2008</v>
      </c>
      <c r="B51" s="145">
        <v>104.4</v>
      </c>
      <c r="C51" s="145">
        <v>115.9</v>
      </c>
      <c r="D51" s="145">
        <v>24.5</v>
      </c>
      <c r="E51" s="145">
        <v>50.4</v>
      </c>
      <c r="F51" s="147">
        <v>141</v>
      </c>
      <c r="G51" s="145">
        <v>-118.3</v>
      </c>
      <c r="H51" s="145">
        <v>-10.3</v>
      </c>
      <c r="I51" s="147">
        <v>391.9</v>
      </c>
      <c r="J51" s="145">
        <v>-275.8</v>
      </c>
      <c r="K51" s="145">
        <v>-290.60000000000002</v>
      </c>
      <c r="L51" s="145">
        <v>-165.1</v>
      </c>
      <c r="M51" s="147">
        <v>-8.6999999999999993</v>
      </c>
      <c r="N51" s="146">
        <f t="shared" si="8"/>
        <v>-40.700000000000031</v>
      </c>
      <c r="O51" s="145">
        <f t="shared" si="7"/>
        <v>436.2</v>
      </c>
      <c r="P51" s="145">
        <f t="shared" si="9"/>
        <v>317.89999999999998</v>
      </c>
      <c r="Q51" s="147">
        <f t="shared" si="10"/>
        <v>142.49999999999997</v>
      </c>
    </row>
    <row r="52" spans="1:18" s="4" customFormat="1" ht="13.5" customHeight="1" x14ac:dyDescent="0.2">
      <c r="A52" s="77">
        <v>2009</v>
      </c>
      <c r="B52" s="145">
        <v>115</v>
      </c>
      <c r="C52" s="145">
        <v>109.6</v>
      </c>
      <c r="D52" s="145">
        <v>20.7</v>
      </c>
      <c r="E52" s="145">
        <v>185.6</v>
      </c>
      <c r="F52" s="147">
        <f>5.8+128.6</f>
        <v>134.4</v>
      </c>
      <c r="G52" s="145">
        <v>-83</v>
      </c>
      <c r="H52" s="145">
        <v>-2.8</v>
      </c>
      <c r="I52" s="147">
        <f>14.1-0.8</f>
        <v>13.299999999999999</v>
      </c>
      <c r="J52" s="145">
        <v>-64.2</v>
      </c>
      <c r="K52" s="145">
        <v>-188</v>
      </c>
      <c r="L52" s="145">
        <v>-157.19999999999999</v>
      </c>
      <c r="M52" s="147">
        <v>12.4</v>
      </c>
      <c r="N52" s="146">
        <f t="shared" si="8"/>
        <v>95.799999999999983</v>
      </c>
      <c r="O52" s="145">
        <f t="shared" si="7"/>
        <v>565.29999999999995</v>
      </c>
      <c r="P52" s="145">
        <f t="shared" si="9"/>
        <v>482.29999999999995</v>
      </c>
      <c r="Q52" s="147">
        <f t="shared" si="10"/>
        <v>322.29999999999995</v>
      </c>
    </row>
    <row r="53" spans="1:18" s="4" customFormat="1" ht="13.5" customHeight="1" x14ac:dyDescent="0.2">
      <c r="A53" s="294">
        <v>2010</v>
      </c>
      <c r="B53" s="149">
        <v>182.8</v>
      </c>
      <c r="C53" s="149">
        <v>103</v>
      </c>
      <c r="D53" s="149">
        <v>19.8</v>
      </c>
      <c r="E53" s="149">
        <v>-17.5</v>
      </c>
      <c r="F53" s="151">
        <v>74.400000000000006</v>
      </c>
      <c r="G53" s="149">
        <v>-67.7</v>
      </c>
      <c r="H53" s="149">
        <v>-4.9000000000000004</v>
      </c>
      <c r="I53" s="151">
        <v>7.5</v>
      </c>
      <c r="J53" s="149">
        <v>-45.8</v>
      </c>
      <c r="K53" s="149">
        <v>-106.3</v>
      </c>
      <c r="L53" s="149">
        <v>-154.9</v>
      </c>
      <c r="M53" s="151">
        <v>-6.4</v>
      </c>
      <c r="N53" s="148">
        <f t="shared" si="8"/>
        <v>-15.999999999999995</v>
      </c>
      <c r="O53" s="149">
        <f t="shared" si="7"/>
        <v>362.5</v>
      </c>
      <c r="P53" s="149">
        <f t="shared" si="9"/>
        <v>294.8</v>
      </c>
      <c r="Q53" s="151">
        <f t="shared" si="10"/>
        <v>135.00000000000003</v>
      </c>
    </row>
    <row r="54" spans="1:18" s="4" customFormat="1" ht="13.5" customHeight="1" x14ac:dyDescent="0.2">
      <c r="A54" s="77">
        <v>2011</v>
      </c>
      <c r="B54" s="145">
        <v>156.4</v>
      </c>
      <c r="C54" s="145">
        <v>98.1</v>
      </c>
      <c r="D54" s="145">
        <v>18.8</v>
      </c>
      <c r="E54" s="145">
        <v>-13.8</v>
      </c>
      <c r="F54" s="394">
        <v>69.400000000000006</v>
      </c>
      <c r="G54" s="145">
        <v>-75</v>
      </c>
      <c r="H54" s="145">
        <v>-6.6</v>
      </c>
      <c r="I54" s="394">
        <v>45</v>
      </c>
      <c r="J54" s="145">
        <v>65.099999999999994</v>
      </c>
      <c r="K54" s="145">
        <v>-204.7</v>
      </c>
      <c r="L54" s="145">
        <v>-155.9</v>
      </c>
      <c r="M54" s="394">
        <f>-8.1+3.1</f>
        <v>-5</v>
      </c>
      <c r="N54" s="145">
        <f t="shared" si="8"/>
        <v>-8.2000000000000171</v>
      </c>
      <c r="O54" s="145">
        <f t="shared" ref="O54" si="11">SUM(B54:F54)</f>
        <v>328.9</v>
      </c>
      <c r="P54" s="145">
        <f t="shared" si="9"/>
        <v>253.89999999999998</v>
      </c>
      <c r="Q54" s="394">
        <f t="shared" si="10"/>
        <v>91.399999999999977</v>
      </c>
    </row>
    <row r="55" spans="1:18" s="4" customFormat="1" ht="13.5" customHeight="1" x14ac:dyDescent="0.2">
      <c r="A55" s="77">
        <v>2012</v>
      </c>
      <c r="B55" s="145">
        <v>250.5</v>
      </c>
      <c r="C55" s="145">
        <v>90.4</v>
      </c>
      <c r="D55" s="145">
        <v>28.6</v>
      </c>
      <c r="E55" s="145">
        <v>57.4</v>
      </c>
      <c r="F55" s="147">
        <v>22.8</v>
      </c>
      <c r="G55" s="145">
        <v>-71</v>
      </c>
      <c r="H55" s="145">
        <v>-211.6</v>
      </c>
      <c r="I55" s="147">
        <v>-11.4</v>
      </c>
      <c r="J55" s="145">
        <v>201.6</v>
      </c>
      <c r="K55" s="145">
        <v>5.6</v>
      </c>
      <c r="L55" s="145">
        <v>-199.5</v>
      </c>
      <c r="M55" s="147">
        <f>-44.3+3.7</f>
        <v>-40.599999999999994</v>
      </c>
      <c r="N55" s="145">
        <f t="shared" ref="N55" si="12">SUM(B55:M55)</f>
        <v>122.79999999999998</v>
      </c>
      <c r="O55" s="145">
        <f t="shared" ref="O55" si="13">SUM(B55:F55)</f>
        <v>449.7</v>
      </c>
      <c r="P55" s="145">
        <f t="shared" ref="P55" si="14">+O55+G55</f>
        <v>378.7</v>
      </c>
      <c r="Q55" s="147">
        <f t="shared" ref="Q55" si="15">+O55+G55+H55+L55</f>
        <v>-32.400000000000006</v>
      </c>
    </row>
    <row r="56" spans="1:18" s="4" customFormat="1" ht="13.5" customHeight="1" x14ac:dyDescent="0.2">
      <c r="A56" s="77">
        <v>2013</v>
      </c>
      <c r="B56" s="145">
        <v>199.7</v>
      </c>
      <c r="C56" s="145">
        <v>90.1</v>
      </c>
      <c r="D56" s="145">
        <v>32.5</v>
      </c>
      <c r="E56" s="145">
        <v>26.4</v>
      </c>
      <c r="F56" s="147">
        <v>68.2</v>
      </c>
      <c r="G56" s="145">
        <v>-80.599999999999994</v>
      </c>
      <c r="H56" s="145">
        <v>-27.9</v>
      </c>
      <c r="I56" s="147">
        <v>33.200000000000003</v>
      </c>
      <c r="J56" s="145">
        <v>-180.4</v>
      </c>
      <c r="K56" s="145">
        <v>-132.5</v>
      </c>
      <c r="L56" s="145">
        <v>-124.9</v>
      </c>
      <c r="M56" s="147">
        <v>9.8000000000000007</v>
      </c>
      <c r="N56" s="145">
        <f t="shared" ref="N56" si="16">SUM(B56:M56)</f>
        <v>-86.400000000000048</v>
      </c>
      <c r="O56" s="145">
        <f t="shared" ref="O56" si="17">SUM(B56:F56)</f>
        <v>416.89999999999992</v>
      </c>
      <c r="P56" s="145">
        <f t="shared" ref="P56" si="18">+O56+G56</f>
        <v>336.29999999999995</v>
      </c>
      <c r="Q56" s="147">
        <f t="shared" ref="Q56" si="19">+O56+G56+H56+L56</f>
        <v>183.49999999999997</v>
      </c>
    </row>
    <row r="57" spans="1:18" s="4" customFormat="1" ht="13.5" customHeight="1" x14ac:dyDescent="0.2">
      <c r="A57" s="77">
        <v>2014</v>
      </c>
      <c r="B57" s="145">
        <v>101.2</v>
      </c>
      <c r="C57" s="145">
        <v>89.9</v>
      </c>
      <c r="D57" s="145">
        <v>28</v>
      </c>
      <c r="E57" s="145">
        <v>53.6</v>
      </c>
      <c r="F57" s="147">
        <v>109.2</v>
      </c>
      <c r="G57" s="145">
        <v>-94.1</v>
      </c>
      <c r="H57" s="145">
        <v>-70.400000000000006</v>
      </c>
      <c r="I57" s="147">
        <v>61.8</v>
      </c>
      <c r="J57" s="145">
        <v>87</v>
      </c>
      <c r="K57" s="145">
        <v>-127.9</v>
      </c>
      <c r="L57" s="145">
        <v>-167.5</v>
      </c>
      <c r="M57" s="147">
        <v>-10.7</v>
      </c>
      <c r="N57" s="145">
        <f t="shared" ref="N57" si="20">SUM(B57:M57)</f>
        <v>60.100000000000037</v>
      </c>
      <c r="O57" s="145">
        <f t="shared" ref="O57" si="21">SUM(B57:F57)</f>
        <v>381.90000000000003</v>
      </c>
      <c r="P57" s="145">
        <f t="shared" ref="P57" si="22">+O57+G57</f>
        <v>287.80000000000007</v>
      </c>
      <c r="Q57" s="147">
        <f t="shared" ref="Q57" si="23">+O57+G57+H57+L57</f>
        <v>49.900000000000063</v>
      </c>
    </row>
    <row r="58" spans="1:18" s="4" customFormat="1" ht="13.5" customHeight="1" x14ac:dyDescent="0.2">
      <c r="A58" s="294">
        <v>2015</v>
      </c>
      <c r="B58" s="149">
        <v>329.2</v>
      </c>
      <c r="C58" s="149">
        <v>83.5</v>
      </c>
      <c r="D58" s="149">
        <v>29.7</v>
      </c>
      <c r="E58" s="149">
        <v>-170.8</v>
      </c>
      <c r="F58" s="151">
        <f>6.5+81</f>
        <v>87.5</v>
      </c>
      <c r="G58" s="149">
        <v>-103.2</v>
      </c>
      <c r="H58" s="149">
        <v>-11.1</v>
      </c>
      <c r="I58" s="151">
        <f>51.4-6.7</f>
        <v>44.699999999999996</v>
      </c>
      <c r="J58" s="149">
        <v>-3.3</v>
      </c>
      <c r="K58" s="149">
        <v>-183.2</v>
      </c>
      <c r="L58" s="149">
        <v>-171.6</v>
      </c>
      <c r="M58" s="151">
        <f>-19.9+8.9</f>
        <v>-10.999999999999998</v>
      </c>
      <c r="N58" s="149">
        <f t="shared" ref="N58:N59" si="24">SUM(B58:M58)</f>
        <v>-79.599999999999994</v>
      </c>
      <c r="O58" s="149">
        <f t="shared" ref="O58:O59" si="25">SUM(B58:F58)</f>
        <v>359.09999999999997</v>
      </c>
      <c r="P58" s="149">
        <f t="shared" ref="P58:P59" si="26">+O58+G58</f>
        <v>255.89999999999998</v>
      </c>
      <c r="Q58" s="151">
        <f>+O58+G58+H58+L58</f>
        <v>73.199999999999989</v>
      </c>
    </row>
    <row r="59" spans="1:18" s="4" customFormat="1" ht="13.5" customHeight="1" x14ac:dyDescent="0.2">
      <c r="A59" s="77">
        <v>2016</v>
      </c>
      <c r="B59" s="145">
        <v>386.2</v>
      </c>
      <c r="C59" s="145">
        <v>86.8</v>
      </c>
      <c r="D59" s="145">
        <v>28.6</v>
      </c>
      <c r="E59" s="145">
        <v>15.1</v>
      </c>
      <c r="F59" s="147">
        <f>31.8+4.1</f>
        <v>35.9</v>
      </c>
      <c r="G59" s="145">
        <v>-124</v>
      </c>
      <c r="H59" s="145">
        <v>-29.5</v>
      </c>
      <c r="I59" s="147">
        <f>86.1+-24.6+-10</f>
        <v>51.499999999999993</v>
      </c>
      <c r="J59" s="145">
        <v>6.5</v>
      </c>
      <c r="K59" s="145">
        <v>-193.1</v>
      </c>
      <c r="L59" s="145">
        <v>-177.4</v>
      </c>
      <c r="M59" s="147">
        <f>-38.2+-19.7</f>
        <v>-57.900000000000006</v>
      </c>
      <c r="N59" s="146">
        <f t="shared" si="24"/>
        <v>28.699999999999989</v>
      </c>
      <c r="O59" s="145">
        <f t="shared" si="25"/>
        <v>552.6</v>
      </c>
      <c r="P59" s="145">
        <f t="shared" si="26"/>
        <v>428.6</v>
      </c>
      <c r="Q59" s="147">
        <f>+O59+G59+H59+L59</f>
        <v>221.70000000000002</v>
      </c>
    </row>
    <row r="60" spans="1:18" s="4" customFormat="1" ht="13.5" customHeight="1" x14ac:dyDescent="0.2">
      <c r="A60" s="294">
        <v>2017</v>
      </c>
      <c r="B60" s="149">
        <v>292.7</v>
      </c>
      <c r="C60" s="149">
        <v>95.3</v>
      </c>
      <c r="D60" s="149">
        <v>30.6</v>
      </c>
      <c r="E60" s="149">
        <v>-80.2</v>
      </c>
      <c r="F60" s="151">
        <f>4.9+100.4</f>
        <v>105.30000000000001</v>
      </c>
      <c r="G60" s="149">
        <v>-159.4</v>
      </c>
      <c r="H60" s="149">
        <v>-39.1</v>
      </c>
      <c r="I60" s="151">
        <f>37.7+7.5-0.4-11.3</f>
        <v>33.5</v>
      </c>
      <c r="J60" s="149">
        <v>281.5</v>
      </c>
      <c r="K60" s="149">
        <v>-155</v>
      </c>
      <c r="L60" s="149">
        <v>-185.6</v>
      </c>
      <c r="M60" s="151">
        <f>-2.6-2.2-0.6+30</f>
        <v>24.6</v>
      </c>
      <c r="N60" s="148">
        <f t="shared" ref="N60" si="27">SUM(B60:M60)</f>
        <v>244.20000000000005</v>
      </c>
      <c r="O60" s="149">
        <f t="shared" ref="O60" si="28">SUM(B60:F60)</f>
        <v>443.70000000000005</v>
      </c>
      <c r="P60" s="149">
        <f t="shared" ref="P60" si="29">+O60+G60</f>
        <v>284.30000000000007</v>
      </c>
      <c r="Q60" s="151">
        <f>+O60+G60+H60+L60</f>
        <v>59.60000000000008</v>
      </c>
    </row>
    <row r="61" spans="1:18" ht="6" customHeight="1" x14ac:dyDescent="0.2">
      <c r="A61" s="18"/>
      <c r="C61" s="19"/>
      <c r="D61" s="19"/>
      <c r="E61" s="19"/>
      <c r="F61" s="19"/>
      <c r="O61" s="227"/>
    </row>
    <row r="62" spans="1:18" ht="18.75" x14ac:dyDescent="0.25">
      <c r="A62" s="427" t="s">
        <v>229</v>
      </c>
      <c r="H62" s="351" t="s">
        <v>207</v>
      </c>
    </row>
    <row r="63" spans="1:18" ht="14.25" x14ac:dyDescent="0.2">
      <c r="A63" s="20"/>
      <c r="H63" s="352" t="s">
        <v>208</v>
      </c>
    </row>
    <row r="64" spans="1:18" ht="6" customHeight="1" x14ac:dyDescent="0.2">
      <c r="A64" s="20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 x14ac:dyDescent="0.2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2"/>
      <c r="O65" s="72"/>
    </row>
    <row r="66" spans="1:15" x14ac:dyDescent="0.2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2"/>
      <c r="O66" s="72"/>
    </row>
    <row r="67" spans="1:15" x14ac:dyDescent="0.2">
      <c r="A67" s="7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2"/>
      <c r="O67" s="72"/>
    </row>
    <row r="68" spans="1:15" x14ac:dyDescent="0.2">
      <c r="A68" s="7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2"/>
      <c r="O68" s="72"/>
    </row>
    <row r="69" spans="1:15" x14ac:dyDescent="0.2">
      <c r="A69" s="7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2"/>
      <c r="O69" s="72"/>
    </row>
    <row r="70" spans="1:15" x14ac:dyDescent="0.2">
      <c r="A70" s="7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2"/>
      <c r="O70" s="72"/>
    </row>
    <row r="71" spans="1:15" x14ac:dyDescent="0.2">
      <c r="A71" s="23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2"/>
      <c r="O71" s="72"/>
    </row>
    <row r="72" spans="1:15" x14ac:dyDescent="0.2">
      <c r="A72" s="7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2"/>
      <c r="O72" s="72"/>
    </row>
    <row r="73" spans="1:15" x14ac:dyDescent="0.2">
      <c r="A73" s="7"/>
      <c r="B73" s="24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2"/>
      <c r="O73" s="72"/>
    </row>
    <row r="74" spans="1:15" x14ac:dyDescent="0.2">
      <c r="A74" s="25"/>
      <c r="B74" s="71"/>
      <c r="C74" s="71"/>
      <c r="D74" s="71"/>
      <c r="E74" s="73"/>
      <c r="F74" s="71"/>
      <c r="G74" s="71"/>
      <c r="H74" s="71"/>
      <c r="I74" s="71"/>
      <c r="J74" s="71"/>
      <c r="K74" s="71"/>
      <c r="L74" s="71"/>
      <c r="M74" s="71"/>
      <c r="N74" s="72"/>
      <c r="O74" s="72"/>
    </row>
    <row r="75" spans="1:15" x14ac:dyDescent="0.2">
      <c r="A75" s="7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2"/>
      <c r="O75" s="72"/>
    </row>
    <row r="76" spans="1:15" x14ac:dyDescent="0.2">
      <c r="A76" s="7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4"/>
      <c r="O76" s="74"/>
    </row>
    <row r="77" spans="1:15" x14ac:dyDescent="0.2">
      <c r="A77" s="7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2"/>
      <c r="O77" s="72"/>
    </row>
    <row r="78" spans="1:15" x14ac:dyDescent="0.2">
      <c r="A78" s="7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2"/>
      <c r="O78" s="72"/>
    </row>
    <row r="79" spans="1:15" x14ac:dyDescent="0.2">
      <c r="A79" s="7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2"/>
      <c r="O79" s="72"/>
    </row>
    <row r="80" spans="1:15" x14ac:dyDescent="0.2">
      <c r="A80" s="7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2"/>
      <c r="O80" s="72"/>
    </row>
  </sheetData>
  <mergeCells count="24">
    <mergeCell ref="P6:P8"/>
    <mergeCell ref="N5:Q5"/>
    <mergeCell ref="N6:N8"/>
    <mergeCell ref="O6:O8"/>
    <mergeCell ref="Q6:Q8"/>
    <mergeCell ref="J5:M5"/>
    <mergeCell ref="J6:J8"/>
    <mergeCell ref="K6:K8"/>
    <mergeCell ref="M6:M8"/>
    <mergeCell ref="L6:L8"/>
    <mergeCell ref="A5:A8"/>
    <mergeCell ref="B9:C9"/>
    <mergeCell ref="B6:B8"/>
    <mergeCell ref="C6:C8"/>
    <mergeCell ref="B5:F5"/>
    <mergeCell ref="C35:D35"/>
    <mergeCell ref="C34:D34"/>
    <mergeCell ref="G5:I5"/>
    <mergeCell ref="D6:D8"/>
    <mergeCell ref="H6:H8"/>
    <mergeCell ref="I6:I8"/>
    <mergeCell ref="E6:E8"/>
    <mergeCell ref="F6:F8"/>
    <mergeCell ref="G6:G8"/>
  </mergeCells>
  <phoneticPr fontId="0" type="noConversion"/>
  <printOptions horizontalCentered="1"/>
  <pageMargins left="0.3" right="0.3" top="0.25" bottom="0.25" header="0.5" footer="0.5"/>
  <pageSetup scale="6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pageSetUpPr fitToPage="1"/>
  </sheetPr>
  <dimension ref="A1:V86"/>
  <sheetViews>
    <sheetView zoomScaleNormal="100" zoomScaleSheetLayoutView="100" workbookViewId="0">
      <pane xSplit="1" ySplit="7" topLeftCell="B44" activePane="bottomRight" state="frozen"/>
      <selection pane="topRight" activeCell="B1" sqref="B1"/>
      <selection pane="bottomLeft" activeCell="A8" sqref="A8"/>
      <selection pane="bottomRight" activeCell="A63" sqref="A63"/>
    </sheetView>
  </sheetViews>
  <sheetFormatPr defaultRowHeight="12.75" x14ac:dyDescent="0.2"/>
  <cols>
    <col min="1" max="1" width="9.28515625" bestFit="1" customWidth="1"/>
    <col min="2" max="2" width="6.7109375" customWidth="1"/>
    <col min="3" max="4" width="7.7109375" customWidth="1"/>
    <col min="5" max="5" width="8.28515625" customWidth="1"/>
    <col min="6" max="6" width="8.140625" customWidth="1"/>
    <col min="7" max="7" width="8" customWidth="1"/>
    <col min="8" max="8" width="8.7109375" customWidth="1"/>
    <col min="9" max="11" width="6.7109375" customWidth="1"/>
    <col min="12" max="12" width="8" customWidth="1"/>
    <col min="13" max="13" width="6.7109375" customWidth="1"/>
    <col min="14" max="14" width="8.140625" customWidth="1"/>
    <col min="15" max="15" width="6.7109375" bestFit="1" customWidth="1"/>
    <col min="16" max="16" width="8.42578125" customWidth="1"/>
    <col min="17" max="18" width="9.7109375" customWidth="1"/>
    <col min="19" max="19" width="8.7109375" customWidth="1"/>
    <col min="20" max="20" width="7.7109375" customWidth="1"/>
    <col min="21" max="22" width="8.7109375" customWidth="1"/>
  </cols>
  <sheetData>
    <row r="1" spans="1:22" ht="30" x14ac:dyDescent="0.4">
      <c r="A1" s="40" t="s">
        <v>249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ht="26.25" x14ac:dyDescent="0.4">
      <c r="A2" s="89" t="s">
        <v>15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</row>
    <row r="3" spans="1:22" ht="6" customHeight="1" x14ac:dyDescent="0.2"/>
    <row r="4" spans="1:22" ht="15.75" customHeight="1" x14ac:dyDescent="0.2">
      <c r="A4" s="464" t="s">
        <v>9</v>
      </c>
      <c r="B4" s="473" t="s">
        <v>4</v>
      </c>
      <c r="C4" s="474"/>
      <c r="D4" s="474"/>
      <c r="E4" s="474"/>
      <c r="F4" s="474"/>
      <c r="G4" s="476"/>
      <c r="H4" s="473" t="s">
        <v>10</v>
      </c>
      <c r="I4" s="474"/>
      <c r="J4" s="474"/>
      <c r="K4" s="516"/>
      <c r="L4" s="474"/>
      <c r="M4" s="476"/>
      <c r="N4" s="104" t="s">
        <v>45</v>
      </c>
      <c r="O4" s="104"/>
      <c r="P4" s="105"/>
      <c r="Q4" s="105"/>
      <c r="R4" s="106"/>
      <c r="S4" s="473" t="s">
        <v>89</v>
      </c>
      <c r="T4" s="474"/>
      <c r="U4" s="474"/>
      <c r="V4" s="476"/>
    </row>
    <row r="5" spans="1:22" ht="12.75" customHeight="1" x14ac:dyDescent="0.2">
      <c r="A5" s="464"/>
      <c r="B5" s="517" t="s">
        <v>105</v>
      </c>
      <c r="C5" s="506" t="s">
        <v>106</v>
      </c>
      <c r="D5" s="506" t="s">
        <v>107</v>
      </c>
      <c r="E5" s="506" t="s">
        <v>11</v>
      </c>
      <c r="F5" s="506" t="s">
        <v>46</v>
      </c>
      <c r="G5" s="509" t="s">
        <v>12</v>
      </c>
      <c r="H5" s="506" t="s">
        <v>126</v>
      </c>
      <c r="I5" s="506" t="s">
        <v>127</v>
      </c>
      <c r="J5" s="506" t="s">
        <v>200</v>
      </c>
      <c r="K5" s="515" t="s">
        <v>128</v>
      </c>
      <c r="L5" s="506" t="s">
        <v>13</v>
      </c>
      <c r="M5" s="509" t="s">
        <v>108</v>
      </c>
      <c r="N5" s="512"/>
      <c r="O5" s="512" t="s">
        <v>152</v>
      </c>
      <c r="P5" s="512" t="s">
        <v>140</v>
      </c>
      <c r="Q5" s="512" t="s">
        <v>141</v>
      </c>
      <c r="R5" s="512" t="s">
        <v>142</v>
      </c>
      <c r="S5" s="506" t="s">
        <v>12</v>
      </c>
      <c r="T5" s="506" t="s">
        <v>45</v>
      </c>
      <c r="U5" s="506" t="s">
        <v>109</v>
      </c>
      <c r="V5" s="509" t="s">
        <v>90</v>
      </c>
    </row>
    <row r="6" spans="1:22" ht="12.75" customHeight="1" x14ac:dyDescent="0.2">
      <c r="A6" s="464"/>
      <c r="B6" s="517"/>
      <c r="C6" s="507"/>
      <c r="D6" s="507"/>
      <c r="E6" s="507"/>
      <c r="F6" s="507"/>
      <c r="G6" s="510"/>
      <c r="H6" s="507"/>
      <c r="I6" s="507"/>
      <c r="J6" s="507"/>
      <c r="K6" s="507"/>
      <c r="L6" s="507"/>
      <c r="M6" s="510"/>
      <c r="N6" s="513"/>
      <c r="O6" s="513"/>
      <c r="P6" s="513"/>
      <c r="Q6" s="513"/>
      <c r="R6" s="513"/>
      <c r="S6" s="507"/>
      <c r="T6" s="507"/>
      <c r="U6" s="507"/>
      <c r="V6" s="510"/>
    </row>
    <row r="7" spans="1:22" ht="13.5" customHeight="1" thickBot="1" x14ac:dyDescent="0.25">
      <c r="A7" s="465"/>
      <c r="B7" s="518"/>
      <c r="C7" s="508"/>
      <c r="D7" s="508"/>
      <c r="E7" s="508"/>
      <c r="F7" s="508"/>
      <c r="G7" s="511"/>
      <c r="H7" s="508"/>
      <c r="I7" s="508"/>
      <c r="J7" s="508"/>
      <c r="K7" s="508"/>
      <c r="L7" s="508"/>
      <c r="M7" s="511"/>
      <c r="N7" s="514"/>
      <c r="O7" s="514"/>
      <c r="P7" s="514"/>
      <c r="Q7" s="514"/>
      <c r="R7" s="514"/>
      <c r="S7" s="508"/>
      <c r="T7" s="508"/>
      <c r="U7" s="508"/>
      <c r="V7" s="511"/>
    </row>
    <row r="8" spans="1:22" ht="13.5" thickBot="1" x14ac:dyDescent="0.25">
      <c r="A8" s="11"/>
      <c r="B8" s="504" t="s">
        <v>14</v>
      </c>
      <c r="C8" s="505"/>
      <c r="D8" s="67"/>
      <c r="E8" s="67"/>
      <c r="F8" s="67"/>
      <c r="G8" s="152">
        <v>5.9580000000000002</v>
      </c>
      <c r="H8" s="68"/>
      <c r="I8" s="67"/>
      <c r="J8" s="67"/>
      <c r="K8" s="67"/>
      <c r="L8" s="69">
        <v>0.74099999999999999</v>
      </c>
      <c r="M8" s="70"/>
      <c r="N8" s="153">
        <v>3.7749999999999999</v>
      </c>
      <c r="O8" s="153"/>
      <c r="P8" s="154">
        <f t="shared" ref="P8:P43" si="0">L8+M8+N8</f>
        <v>4.516</v>
      </c>
      <c r="Q8" s="154"/>
      <c r="R8" s="154"/>
      <c r="S8" s="67"/>
      <c r="T8" s="67"/>
      <c r="U8" s="67"/>
      <c r="V8" s="70"/>
    </row>
    <row r="9" spans="1:22" x14ac:dyDescent="0.2">
      <c r="A9" s="14">
        <v>1967</v>
      </c>
      <c r="B9" s="107">
        <v>0.378</v>
      </c>
      <c r="C9" s="108">
        <v>1.5378699999999998</v>
      </c>
      <c r="D9" s="108">
        <v>2.7137579999999999</v>
      </c>
      <c r="E9" s="108">
        <v>4.8770340000000001</v>
      </c>
      <c r="F9" s="108">
        <v>1.9239999999999999</v>
      </c>
      <c r="G9" s="111">
        <v>6.9522340000000007</v>
      </c>
      <c r="H9" s="107">
        <v>0.3</v>
      </c>
      <c r="I9" s="108">
        <v>0.1</v>
      </c>
      <c r="J9" s="108">
        <f t="shared" ref="J9:J44" si="1">+K9-H9-I9</f>
        <v>0.36479899999999998</v>
      </c>
      <c r="K9" s="108">
        <v>0.76479900000000001</v>
      </c>
      <c r="L9" s="108">
        <v>1.6060000000000001</v>
      </c>
      <c r="M9" s="111">
        <f t="shared" ref="M9:M45" si="2">G9-(K9+L9+N9)</f>
        <v>7.4000000000000732E-2</v>
      </c>
      <c r="N9" s="107">
        <v>4.5074350000000001</v>
      </c>
      <c r="O9" s="107">
        <f t="shared" ref="O9:O37" si="3">+L9+I9-B9</f>
        <v>1.3280000000000003</v>
      </c>
      <c r="P9" s="154">
        <f t="shared" si="0"/>
        <v>6.1874350000000007</v>
      </c>
      <c r="Q9" s="154">
        <f t="shared" ref="Q9:Q45" si="4">+P9-B9+I9</f>
        <v>5.9094350000000002</v>
      </c>
      <c r="R9" s="154">
        <f t="shared" ref="R9:R46" si="5">+E9-B9-K9+I9</f>
        <v>3.8342350000000001</v>
      </c>
      <c r="S9" s="155">
        <f>AVERAGE(G8:G9)</f>
        <v>6.4551170000000004</v>
      </c>
      <c r="T9" s="155">
        <f>AVERAGE(N8:N9)</f>
        <v>4.1412174999999998</v>
      </c>
      <c r="U9" s="155">
        <f>AVERAGE(R8:R9)</f>
        <v>3.8342350000000001</v>
      </c>
      <c r="V9" s="156">
        <f t="shared" ref="V9:V42" si="6">AVERAGE(P8:P9)</f>
        <v>5.3517175000000003</v>
      </c>
    </row>
    <row r="10" spans="1:22" x14ac:dyDescent="0.2">
      <c r="A10" s="14">
        <v>1968</v>
      </c>
      <c r="B10" s="107">
        <v>0.35340100000000002</v>
      </c>
      <c r="C10" s="108">
        <v>2.3745729999999998</v>
      </c>
      <c r="D10" s="108">
        <v>4.3511130000000007</v>
      </c>
      <c r="E10" s="108">
        <v>7.318619</v>
      </c>
      <c r="F10" s="108">
        <v>2.9421660000000003</v>
      </c>
      <c r="G10" s="111">
        <v>10.597474</v>
      </c>
      <c r="H10" s="107">
        <v>1.7</v>
      </c>
      <c r="I10" s="108">
        <v>0.2</v>
      </c>
      <c r="J10" s="108">
        <f t="shared" si="1"/>
        <v>1.4420730000000002</v>
      </c>
      <c r="K10" s="108">
        <v>3.3420730000000001</v>
      </c>
      <c r="L10" s="108">
        <v>2.0088689999999998</v>
      </c>
      <c r="M10" s="111">
        <f t="shared" si="2"/>
        <v>9.7739999999999938E-2</v>
      </c>
      <c r="N10" s="107">
        <v>5.1487920000000003</v>
      </c>
      <c r="O10" s="107">
        <f t="shared" si="3"/>
        <v>1.8554679999999999</v>
      </c>
      <c r="P10" s="154">
        <f t="shared" si="0"/>
        <v>7.255401</v>
      </c>
      <c r="Q10" s="154">
        <f t="shared" si="4"/>
        <v>7.1020000000000003</v>
      </c>
      <c r="R10" s="154">
        <f t="shared" si="5"/>
        <v>3.8231450000000002</v>
      </c>
      <c r="S10" s="155">
        <f>AVERAGE(G9:G10)</f>
        <v>8.7748540000000013</v>
      </c>
      <c r="T10" s="155">
        <f>AVERAGE(N9:N10)</f>
        <v>4.8281135000000006</v>
      </c>
      <c r="U10" s="155">
        <f t="shared" ref="U10:U42" si="7">AVERAGE(R9:R10)</f>
        <v>3.8286899999999999</v>
      </c>
      <c r="V10" s="156">
        <f t="shared" si="6"/>
        <v>6.7214179999999999</v>
      </c>
    </row>
    <row r="11" spans="1:22" x14ac:dyDescent="0.2">
      <c r="A11" s="14">
        <v>1969</v>
      </c>
      <c r="B11" s="107">
        <v>0.76156100000000004</v>
      </c>
      <c r="C11" s="108">
        <v>2.3682440000000002</v>
      </c>
      <c r="D11" s="108">
        <v>5.2663379999999993</v>
      </c>
      <c r="E11" s="108">
        <v>8.7602589999999996</v>
      </c>
      <c r="F11" s="108">
        <v>6.0383079999999998</v>
      </c>
      <c r="G11" s="111">
        <v>15.225716</v>
      </c>
      <c r="H11" s="107">
        <v>1.5</v>
      </c>
      <c r="I11" s="108">
        <v>2.2000000000000002</v>
      </c>
      <c r="J11" s="108">
        <f t="shared" si="1"/>
        <v>0.49664000000000019</v>
      </c>
      <c r="K11" s="108">
        <v>4.1966400000000004</v>
      </c>
      <c r="L11" s="108">
        <v>2.4159130000000002</v>
      </c>
      <c r="M11" s="111">
        <f t="shared" si="2"/>
        <v>0.18590800000000129</v>
      </c>
      <c r="N11" s="107">
        <v>8.4272549999999988</v>
      </c>
      <c r="O11" s="107">
        <f t="shared" si="3"/>
        <v>3.8543520000000009</v>
      </c>
      <c r="P11" s="154">
        <f t="shared" si="0"/>
        <v>11.029076</v>
      </c>
      <c r="Q11" s="154">
        <f t="shared" si="4"/>
        <v>12.467514999999999</v>
      </c>
      <c r="R11" s="154">
        <f t="shared" si="5"/>
        <v>6.002057999999999</v>
      </c>
      <c r="S11" s="155">
        <f t="shared" ref="S11:S41" si="8">AVERAGE(G10:G11)</f>
        <v>12.911595</v>
      </c>
      <c r="T11" s="155">
        <f t="shared" ref="T11:T41" si="9">AVERAGE(N10:N11)</f>
        <v>6.7880234999999995</v>
      </c>
      <c r="U11" s="155">
        <f t="shared" si="7"/>
        <v>4.9126014999999992</v>
      </c>
      <c r="V11" s="156">
        <f t="shared" si="6"/>
        <v>9.1422384999999995</v>
      </c>
    </row>
    <row r="12" spans="1:22" x14ac:dyDescent="0.2">
      <c r="A12" s="15">
        <v>1970</v>
      </c>
      <c r="B12" s="118">
        <v>0.82256399999999996</v>
      </c>
      <c r="C12" s="119">
        <v>3.7012849999999999</v>
      </c>
      <c r="D12" s="119">
        <v>7.2410709999999998</v>
      </c>
      <c r="E12" s="119">
        <v>12.240677</v>
      </c>
      <c r="F12" s="119">
        <v>8.1753839999999993</v>
      </c>
      <c r="G12" s="121">
        <v>21.22185</v>
      </c>
      <c r="H12" s="118">
        <v>1.7</v>
      </c>
      <c r="I12" s="119">
        <v>1.6</v>
      </c>
      <c r="J12" s="119">
        <f t="shared" si="1"/>
        <v>1.1395389999999996</v>
      </c>
      <c r="K12" s="119">
        <v>4.4395389999999999</v>
      </c>
      <c r="L12" s="119">
        <v>7.1925039999999996</v>
      </c>
      <c r="M12" s="121">
        <f t="shared" si="2"/>
        <v>0.37330000000000041</v>
      </c>
      <c r="N12" s="118">
        <v>9.216507</v>
      </c>
      <c r="O12" s="118">
        <f t="shared" si="3"/>
        <v>7.9699399999999994</v>
      </c>
      <c r="P12" s="157">
        <f t="shared" si="0"/>
        <v>16.782311</v>
      </c>
      <c r="Q12" s="157">
        <f t="shared" si="4"/>
        <v>17.559747000000002</v>
      </c>
      <c r="R12" s="157">
        <f t="shared" si="5"/>
        <v>8.5785739999999997</v>
      </c>
      <c r="S12" s="158">
        <f t="shared" si="8"/>
        <v>18.223783000000001</v>
      </c>
      <c r="T12" s="158">
        <f t="shared" si="9"/>
        <v>8.8218809999999994</v>
      </c>
      <c r="U12" s="158">
        <f t="shared" si="7"/>
        <v>7.2903159999999989</v>
      </c>
      <c r="V12" s="159">
        <f t="shared" si="6"/>
        <v>13.9056935</v>
      </c>
    </row>
    <row r="13" spans="1:22" x14ac:dyDescent="0.2">
      <c r="A13" s="14">
        <v>1971</v>
      </c>
      <c r="B13" s="107">
        <v>0.77029999999999998</v>
      </c>
      <c r="C13" s="108">
        <v>4.2546620000000006</v>
      </c>
      <c r="D13" s="108">
        <v>7.4528509999999999</v>
      </c>
      <c r="E13" s="108">
        <v>13.074102</v>
      </c>
      <c r="F13" s="108">
        <v>9.0436049999999994</v>
      </c>
      <c r="G13" s="111">
        <v>23.215229999999998</v>
      </c>
      <c r="H13" s="107">
        <v>1.2</v>
      </c>
      <c r="I13" s="108">
        <v>0.2</v>
      </c>
      <c r="J13" s="108">
        <f t="shared" si="1"/>
        <v>2.204167</v>
      </c>
      <c r="K13" s="108">
        <v>3.6041669999999999</v>
      </c>
      <c r="L13" s="108">
        <v>8.6681369999999998</v>
      </c>
      <c r="M13" s="111">
        <f t="shared" si="2"/>
        <v>0.61720899999999546</v>
      </c>
      <c r="N13" s="107">
        <v>10.325717000000001</v>
      </c>
      <c r="O13" s="107">
        <f t="shared" si="3"/>
        <v>8.0978369999999984</v>
      </c>
      <c r="P13" s="154">
        <f t="shared" si="0"/>
        <v>19.611062999999994</v>
      </c>
      <c r="Q13" s="154">
        <f t="shared" si="4"/>
        <v>19.040762999999995</v>
      </c>
      <c r="R13" s="154">
        <f t="shared" si="5"/>
        <v>8.8996349999999982</v>
      </c>
      <c r="S13" s="155">
        <f t="shared" si="8"/>
        <v>22.218539999999997</v>
      </c>
      <c r="T13" s="155">
        <f t="shared" si="9"/>
        <v>9.7711120000000005</v>
      </c>
      <c r="U13" s="155">
        <f t="shared" si="7"/>
        <v>8.7391044999999998</v>
      </c>
      <c r="V13" s="156">
        <f t="shared" si="6"/>
        <v>18.196686999999997</v>
      </c>
    </row>
    <row r="14" spans="1:22" x14ac:dyDescent="0.2">
      <c r="A14" s="14">
        <v>1972</v>
      </c>
      <c r="B14" s="107">
        <v>1.3641400000000001</v>
      </c>
      <c r="C14" s="108">
        <v>8.0324919999999995</v>
      </c>
      <c r="D14" s="108">
        <v>11.248721</v>
      </c>
      <c r="E14" s="108">
        <v>21.347077000000002</v>
      </c>
      <c r="F14" s="108">
        <v>15.758205</v>
      </c>
      <c r="G14" s="111">
        <v>39.009307</v>
      </c>
      <c r="H14" s="107">
        <v>2.7</v>
      </c>
      <c r="I14" s="108">
        <v>0.8</v>
      </c>
      <c r="J14" s="108">
        <f t="shared" si="1"/>
        <v>2.8564809999999996</v>
      </c>
      <c r="K14" s="108">
        <v>6.3564809999999996</v>
      </c>
      <c r="L14" s="108">
        <v>11.136689000000001</v>
      </c>
      <c r="M14" s="111">
        <f t="shared" si="2"/>
        <v>0.78000000000000114</v>
      </c>
      <c r="N14" s="107">
        <v>20.736136999999999</v>
      </c>
      <c r="O14" s="107">
        <f t="shared" si="3"/>
        <v>10.572549</v>
      </c>
      <c r="P14" s="154">
        <f t="shared" si="0"/>
        <v>32.652826000000005</v>
      </c>
      <c r="Q14" s="154">
        <f t="shared" si="4"/>
        <v>32.088686000000003</v>
      </c>
      <c r="R14" s="154">
        <f t="shared" si="5"/>
        <v>14.426456000000005</v>
      </c>
      <c r="S14" s="155">
        <f t="shared" si="8"/>
        <v>31.112268499999999</v>
      </c>
      <c r="T14" s="155">
        <f t="shared" si="9"/>
        <v>15.530927</v>
      </c>
      <c r="U14" s="155">
        <f t="shared" si="7"/>
        <v>11.663045500000003</v>
      </c>
      <c r="V14" s="156">
        <f t="shared" si="6"/>
        <v>26.131944499999999</v>
      </c>
    </row>
    <row r="15" spans="1:22" x14ac:dyDescent="0.2">
      <c r="A15" s="14">
        <v>1973</v>
      </c>
      <c r="B15" s="107">
        <v>1.6593689999999999</v>
      </c>
      <c r="C15" s="108">
        <v>10.253830000000001</v>
      </c>
      <c r="D15" s="108">
        <v>17.247641999999999</v>
      </c>
      <c r="E15" s="108">
        <v>30.171293000000002</v>
      </c>
      <c r="F15" s="108">
        <v>20.889965</v>
      </c>
      <c r="G15" s="111">
        <v>53.434311000000001</v>
      </c>
      <c r="H15" s="107">
        <v>4</v>
      </c>
      <c r="I15" s="108">
        <v>3.6</v>
      </c>
      <c r="J15" s="108">
        <f t="shared" si="1"/>
        <v>3.8254519999999999</v>
      </c>
      <c r="K15" s="108">
        <v>11.425452</v>
      </c>
      <c r="L15" s="108">
        <v>16.550237000000003</v>
      </c>
      <c r="M15" s="111">
        <f t="shared" si="2"/>
        <v>1.0203709999999973</v>
      </c>
      <c r="N15" s="107">
        <v>24.438251000000001</v>
      </c>
      <c r="O15" s="107">
        <f t="shared" si="3"/>
        <v>18.490868000000006</v>
      </c>
      <c r="P15" s="154">
        <f t="shared" si="0"/>
        <v>42.008859000000001</v>
      </c>
      <c r="Q15" s="154">
        <f t="shared" si="4"/>
        <v>43.949490000000004</v>
      </c>
      <c r="R15" s="154">
        <f t="shared" si="5"/>
        <v>20.686472000000002</v>
      </c>
      <c r="S15" s="155">
        <f t="shared" si="8"/>
        <v>46.221809</v>
      </c>
      <c r="T15" s="155">
        <f t="shared" si="9"/>
        <v>22.587194</v>
      </c>
      <c r="U15" s="155">
        <f t="shared" si="7"/>
        <v>17.556464000000005</v>
      </c>
      <c r="V15" s="156">
        <f t="shared" si="6"/>
        <v>37.330842500000003</v>
      </c>
    </row>
    <row r="16" spans="1:22" x14ac:dyDescent="0.2">
      <c r="A16" s="14">
        <v>1974</v>
      </c>
      <c r="B16" s="107">
        <v>3.6813000000000002</v>
      </c>
      <c r="C16" s="108">
        <v>9.5121590000000005</v>
      </c>
      <c r="D16" s="108">
        <v>20.826151000000003</v>
      </c>
      <c r="E16" s="108">
        <v>35.417713999999997</v>
      </c>
      <c r="F16" s="108">
        <v>25.284101</v>
      </c>
      <c r="G16" s="111">
        <v>62.755004999999997</v>
      </c>
      <c r="H16" s="107">
        <v>2.7</v>
      </c>
      <c r="I16" s="108">
        <f>2.8+0.9</f>
        <v>3.6999999999999997</v>
      </c>
      <c r="J16" s="108">
        <f t="shared" si="1"/>
        <v>4.0988749999999996</v>
      </c>
      <c r="K16" s="108">
        <v>10.498875</v>
      </c>
      <c r="L16" s="108">
        <v>23.885626999999999</v>
      </c>
      <c r="M16" s="111">
        <f t="shared" si="2"/>
        <v>1.3289999999999935</v>
      </c>
      <c r="N16" s="107">
        <v>27.041503000000002</v>
      </c>
      <c r="O16" s="107">
        <f t="shared" si="3"/>
        <v>23.904326999999999</v>
      </c>
      <c r="P16" s="154">
        <f t="shared" si="0"/>
        <v>52.256129999999999</v>
      </c>
      <c r="Q16" s="154">
        <f t="shared" si="4"/>
        <v>52.274830000000001</v>
      </c>
      <c r="R16" s="154">
        <f t="shared" si="5"/>
        <v>24.937538999999997</v>
      </c>
      <c r="S16" s="155">
        <f t="shared" si="8"/>
        <v>58.094657999999995</v>
      </c>
      <c r="T16" s="155">
        <f t="shared" si="9"/>
        <v>25.739877</v>
      </c>
      <c r="U16" s="155">
        <f t="shared" si="7"/>
        <v>22.812005499999998</v>
      </c>
      <c r="V16" s="156">
        <f t="shared" si="6"/>
        <v>47.1324945</v>
      </c>
    </row>
    <row r="17" spans="1:22" x14ac:dyDescent="0.2">
      <c r="A17" s="15">
        <v>1975</v>
      </c>
      <c r="B17" s="118">
        <v>1.5839380000000001</v>
      </c>
      <c r="C17" s="119">
        <v>10.750007999999999</v>
      </c>
      <c r="D17" s="119">
        <v>17.417999999999999</v>
      </c>
      <c r="E17" s="119">
        <v>31.064758000000001</v>
      </c>
      <c r="F17" s="119">
        <v>24.962060000000001</v>
      </c>
      <c r="G17" s="121">
        <v>59.199036999999997</v>
      </c>
      <c r="H17" s="118">
        <v>4.0999999999999996</v>
      </c>
      <c r="I17" s="119">
        <f>2.5+0.9</f>
        <v>3.4</v>
      </c>
      <c r="J17" s="119">
        <f t="shared" si="1"/>
        <v>4.3285619999999998</v>
      </c>
      <c r="K17" s="119">
        <v>11.828562</v>
      </c>
      <c r="L17" s="119">
        <v>16.293424999999999</v>
      </c>
      <c r="M17" s="121">
        <f t="shared" si="2"/>
        <v>1.5124999999999957</v>
      </c>
      <c r="N17" s="118">
        <v>29.564550000000001</v>
      </c>
      <c r="O17" s="118">
        <f t="shared" si="3"/>
        <v>18.109486999999998</v>
      </c>
      <c r="P17" s="157">
        <f t="shared" si="0"/>
        <v>47.370474999999999</v>
      </c>
      <c r="Q17" s="157">
        <f t="shared" si="4"/>
        <v>49.186536999999994</v>
      </c>
      <c r="R17" s="157">
        <f t="shared" si="5"/>
        <v>21.052258000000002</v>
      </c>
      <c r="S17" s="158">
        <f t="shared" si="8"/>
        <v>60.977020999999993</v>
      </c>
      <c r="T17" s="158">
        <f t="shared" si="9"/>
        <v>28.303026500000001</v>
      </c>
      <c r="U17" s="158">
        <f t="shared" si="7"/>
        <v>22.994898499999998</v>
      </c>
      <c r="V17" s="159">
        <f t="shared" si="6"/>
        <v>49.813302499999999</v>
      </c>
    </row>
    <row r="18" spans="1:22" x14ac:dyDescent="0.2">
      <c r="A18" s="14">
        <v>1976</v>
      </c>
      <c r="B18" s="107">
        <v>2.3343389999999999</v>
      </c>
      <c r="C18" s="108">
        <v>11.324609000000001</v>
      </c>
      <c r="D18" s="108">
        <v>22.766295</v>
      </c>
      <c r="E18" s="108">
        <v>37.733671000000001</v>
      </c>
      <c r="F18" s="108">
        <v>29.339169999999999</v>
      </c>
      <c r="G18" s="111">
        <v>69.893623000000005</v>
      </c>
      <c r="H18" s="107">
        <v>4.4000000000000004</v>
      </c>
      <c r="I18" s="108">
        <v>2.2999999999999998</v>
      </c>
      <c r="J18" s="108">
        <f t="shared" si="1"/>
        <v>7.4027389999999995</v>
      </c>
      <c r="K18" s="108">
        <v>14.102739</v>
      </c>
      <c r="L18" s="108">
        <v>20.055361000000001</v>
      </c>
      <c r="M18" s="111">
        <f t="shared" si="2"/>
        <v>1.6353099999999898</v>
      </c>
      <c r="N18" s="107">
        <v>34.100213000000004</v>
      </c>
      <c r="O18" s="107">
        <f t="shared" si="3"/>
        <v>20.021022000000002</v>
      </c>
      <c r="P18" s="154">
        <f t="shared" si="0"/>
        <v>55.790883999999991</v>
      </c>
      <c r="Q18" s="154">
        <f t="shared" si="4"/>
        <v>55.756544999999988</v>
      </c>
      <c r="R18" s="154">
        <f t="shared" si="5"/>
        <v>23.596593000000002</v>
      </c>
      <c r="S18" s="155">
        <f t="shared" si="8"/>
        <v>64.546329999999998</v>
      </c>
      <c r="T18" s="155">
        <f t="shared" si="9"/>
        <v>31.832381500000004</v>
      </c>
      <c r="U18" s="155">
        <f t="shared" si="7"/>
        <v>22.324425500000004</v>
      </c>
      <c r="V18" s="156">
        <f t="shared" si="6"/>
        <v>51.580679499999995</v>
      </c>
    </row>
    <row r="19" spans="1:22" x14ac:dyDescent="0.2">
      <c r="A19" s="14">
        <v>1977</v>
      </c>
      <c r="B19" s="107">
        <v>0.95458799999999999</v>
      </c>
      <c r="C19" s="108">
        <v>15.154549000000001</v>
      </c>
      <c r="D19" s="108">
        <v>24.326549</v>
      </c>
      <c r="E19" s="108">
        <v>42.198920000000001</v>
      </c>
      <c r="F19" s="108">
        <v>30.930186000000003</v>
      </c>
      <c r="G19" s="111">
        <v>76.545040999999998</v>
      </c>
      <c r="H19" s="107">
        <v>5.0999999999999996</v>
      </c>
      <c r="I19" s="108">
        <v>3.5</v>
      </c>
      <c r="J19" s="108">
        <f t="shared" si="1"/>
        <v>7.191142000000001</v>
      </c>
      <c r="K19" s="108">
        <v>15.791142000000001</v>
      </c>
      <c r="L19" s="108">
        <v>12.46191</v>
      </c>
      <c r="M19" s="111">
        <f t="shared" si="2"/>
        <v>8.8415240000000068</v>
      </c>
      <c r="N19" s="107">
        <v>39.450464999999994</v>
      </c>
      <c r="O19" s="107">
        <f t="shared" si="3"/>
        <v>15.007322</v>
      </c>
      <c r="P19" s="154">
        <f t="shared" si="0"/>
        <v>60.753899000000004</v>
      </c>
      <c r="Q19" s="154">
        <f t="shared" si="4"/>
        <v>63.299311000000003</v>
      </c>
      <c r="R19" s="154">
        <f t="shared" si="5"/>
        <v>28.953189999999999</v>
      </c>
      <c r="S19" s="155">
        <f t="shared" si="8"/>
        <v>73.219332000000009</v>
      </c>
      <c r="T19" s="155">
        <f t="shared" si="9"/>
        <v>36.775339000000002</v>
      </c>
      <c r="U19" s="155">
        <f t="shared" si="7"/>
        <v>26.274891500000003</v>
      </c>
      <c r="V19" s="156">
        <f t="shared" si="6"/>
        <v>58.272391499999998</v>
      </c>
    </row>
    <row r="20" spans="1:22" x14ac:dyDescent="0.2">
      <c r="A20" s="14">
        <v>1978</v>
      </c>
      <c r="B20" s="107">
        <v>0.84799999999999998</v>
      </c>
      <c r="C20" s="108">
        <v>17.425000000000001</v>
      </c>
      <c r="D20" s="108">
        <v>27.734000000000002</v>
      </c>
      <c r="E20" s="108">
        <v>47.665999999999997</v>
      </c>
      <c r="F20" s="108">
        <v>36.509</v>
      </c>
      <c r="G20" s="111">
        <v>91.914000000000001</v>
      </c>
      <c r="H20" s="107">
        <v>7.2</v>
      </c>
      <c r="I20" s="108">
        <f>1.9+0.7</f>
        <v>2.5999999999999996</v>
      </c>
      <c r="J20" s="108">
        <f t="shared" si="1"/>
        <v>11.058000000000002</v>
      </c>
      <c r="K20" s="108">
        <v>20.858000000000001</v>
      </c>
      <c r="L20" s="108">
        <v>14.329000000000001</v>
      </c>
      <c r="M20" s="111">
        <f t="shared" si="2"/>
        <v>9.7490000000000094</v>
      </c>
      <c r="N20" s="107">
        <v>46.978000000000002</v>
      </c>
      <c r="O20" s="107">
        <f t="shared" si="3"/>
        <v>16.081000000000003</v>
      </c>
      <c r="P20" s="154">
        <f t="shared" si="0"/>
        <v>71.056000000000012</v>
      </c>
      <c r="Q20" s="154">
        <f t="shared" si="4"/>
        <v>72.808000000000007</v>
      </c>
      <c r="R20" s="154">
        <f t="shared" si="5"/>
        <v>28.559999999999995</v>
      </c>
      <c r="S20" s="155">
        <f t="shared" si="8"/>
        <v>84.229520500000007</v>
      </c>
      <c r="T20" s="155">
        <f t="shared" si="9"/>
        <v>43.214232499999994</v>
      </c>
      <c r="U20" s="155">
        <f t="shared" si="7"/>
        <v>28.756594999999997</v>
      </c>
      <c r="V20" s="156">
        <f t="shared" si="6"/>
        <v>65.904949500000015</v>
      </c>
    </row>
    <row r="21" spans="1:22" x14ac:dyDescent="0.2">
      <c r="A21" s="14">
        <v>1979</v>
      </c>
      <c r="B21" s="107">
        <v>2.3929999999999998</v>
      </c>
      <c r="C21" s="108">
        <v>24.053000000000001</v>
      </c>
      <c r="D21" s="108">
        <v>26.715</v>
      </c>
      <c r="E21" s="108">
        <v>56.113999999999997</v>
      </c>
      <c r="F21" s="108">
        <v>46.737000000000002</v>
      </c>
      <c r="G21" s="111">
        <v>112.526</v>
      </c>
      <c r="H21" s="107">
        <v>9.1</v>
      </c>
      <c r="I21" s="108">
        <v>3.3</v>
      </c>
      <c r="J21" s="108">
        <f t="shared" si="1"/>
        <v>11.504000000000001</v>
      </c>
      <c r="K21" s="108">
        <v>23.904</v>
      </c>
      <c r="L21" s="108">
        <v>33.488</v>
      </c>
      <c r="M21" s="111">
        <f t="shared" si="2"/>
        <v>2.8629999999999995</v>
      </c>
      <c r="N21" s="107">
        <v>52.271000000000001</v>
      </c>
      <c r="O21" s="107">
        <f t="shared" si="3"/>
        <v>34.394999999999996</v>
      </c>
      <c r="P21" s="154">
        <f t="shared" si="0"/>
        <v>88.622</v>
      </c>
      <c r="Q21" s="154">
        <f t="shared" si="4"/>
        <v>89.528999999999996</v>
      </c>
      <c r="R21" s="154">
        <f t="shared" si="5"/>
        <v>33.116999999999997</v>
      </c>
      <c r="S21" s="155">
        <f t="shared" si="8"/>
        <v>102.22</v>
      </c>
      <c r="T21" s="155">
        <f t="shared" si="9"/>
        <v>49.624499999999998</v>
      </c>
      <c r="U21" s="155">
        <f t="shared" si="7"/>
        <v>30.838499999999996</v>
      </c>
      <c r="V21" s="156">
        <f t="shared" si="6"/>
        <v>79.838999999999999</v>
      </c>
    </row>
    <row r="22" spans="1:22" x14ac:dyDescent="0.2">
      <c r="A22" s="15">
        <v>1980</v>
      </c>
      <c r="B22" s="118">
        <v>1.6120000000000001</v>
      </c>
      <c r="C22" s="119">
        <v>24.969000000000001</v>
      </c>
      <c r="D22" s="119">
        <v>27.818000000000001</v>
      </c>
      <c r="E22" s="119">
        <v>56.512</v>
      </c>
      <c r="F22" s="119">
        <v>46.872</v>
      </c>
      <c r="G22" s="121">
        <v>111.747</v>
      </c>
      <c r="H22" s="118">
        <v>11.9</v>
      </c>
      <c r="I22" s="119">
        <f>0.6+2.2</f>
        <v>2.8000000000000003</v>
      </c>
      <c r="J22" s="119">
        <f t="shared" si="1"/>
        <v>12.818999999999997</v>
      </c>
      <c r="K22" s="119">
        <v>27.518999999999998</v>
      </c>
      <c r="L22" s="119">
        <v>21.908999999999999</v>
      </c>
      <c r="M22" s="121">
        <f t="shared" si="2"/>
        <v>3.1770000000000067</v>
      </c>
      <c r="N22" s="118">
        <v>59.142000000000003</v>
      </c>
      <c r="O22" s="118">
        <f t="shared" si="3"/>
        <v>23.097000000000001</v>
      </c>
      <c r="P22" s="157">
        <f t="shared" si="0"/>
        <v>84.228000000000009</v>
      </c>
      <c r="Q22" s="157">
        <f t="shared" si="4"/>
        <v>85.416000000000011</v>
      </c>
      <c r="R22" s="157">
        <f t="shared" si="5"/>
        <v>30.181000000000001</v>
      </c>
      <c r="S22" s="158">
        <f t="shared" si="8"/>
        <v>112.1365</v>
      </c>
      <c r="T22" s="158">
        <f t="shared" si="9"/>
        <v>55.706500000000005</v>
      </c>
      <c r="U22" s="158">
        <f t="shared" si="7"/>
        <v>31.649000000000001</v>
      </c>
      <c r="V22" s="159">
        <f t="shared" si="6"/>
        <v>86.425000000000011</v>
      </c>
    </row>
    <row r="23" spans="1:22" x14ac:dyDescent="0.2">
      <c r="A23" s="14">
        <v>1981</v>
      </c>
      <c r="B23" s="107">
        <v>1.4390000000000001</v>
      </c>
      <c r="C23" s="108">
        <v>26.61</v>
      </c>
      <c r="D23" s="108">
        <v>33.723999999999997</v>
      </c>
      <c r="E23" s="108">
        <v>63.898000000000003</v>
      </c>
      <c r="F23" s="108">
        <v>49.241</v>
      </c>
      <c r="G23" s="111">
        <v>122.331</v>
      </c>
      <c r="H23" s="107">
        <v>11.1</v>
      </c>
      <c r="I23" s="108">
        <f>3.4+2.3</f>
        <v>5.6999999999999993</v>
      </c>
      <c r="J23" s="108">
        <f t="shared" si="1"/>
        <v>15.495000000000001</v>
      </c>
      <c r="K23" s="108">
        <v>32.295000000000002</v>
      </c>
      <c r="L23" s="108">
        <v>29.283999999999999</v>
      </c>
      <c r="M23" s="111">
        <f t="shared" si="2"/>
        <v>3.6509999999999962</v>
      </c>
      <c r="N23" s="107">
        <v>57.100999999999999</v>
      </c>
      <c r="O23" s="107">
        <f t="shared" si="3"/>
        <v>33.544999999999995</v>
      </c>
      <c r="P23" s="154">
        <f t="shared" si="0"/>
        <v>90.036000000000001</v>
      </c>
      <c r="Q23" s="154">
        <f t="shared" si="4"/>
        <v>94.297000000000011</v>
      </c>
      <c r="R23" s="154">
        <f t="shared" si="5"/>
        <v>35.864000000000004</v>
      </c>
      <c r="S23" s="155">
        <f t="shared" si="8"/>
        <v>117.039</v>
      </c>
      <c r="T23" s="155">
        <f t="shared" si="9"/>
        <v>58.121499999999997</v>
      </c>
      <c r="U23" s="155">
        <f t="shared" si="7"/>
        <v>33.022500000000001</v>
      </c>
      <c r="V23" s="156">
        <f t="shared" si="6"/>
        <v>87.132000000000005</v>
      </c>
    </row>
    <row r="24" spans="1:22" x14ac:dyDescent="0.2">
      <c r="A24" s="14">
        <v>1982</v>
      </c>
      <c r="B24" s="107">
        <v>2.1680000000000001</v>
      </c>
      <c r="C24" s="108">
        <v>27.189</v>
      </c>
      <c r="D24" s="108">
        <v>35.329000000000001</v>
      </c>
      <c r="E24" s="108">
        <v>66.296000000000006</v>
      </c>
      <c r="F24" s="108">
        <v>52.216000000000001</v>
      </c>
      <c r="G24" s="111">
        <v>134.37299999999999</v>
      </c>
      <c r="H24" s="107">
        <v>11.8</v>
      </c>
      <c r="I24" s="108">
        <f>1.7+2.8</f>
        <v>4.5</v>
      </c>
      <c r="J24" s="108">
        <f t="shared" si="1"/>
        <v>15.190999999999999</v>
      </c>
      <c r="K24" s="108">
        <v>31.491</v>
      </c>
      <c r="L24" s="108">
        <v>33.679000000000002</v>
      </c>
      <c r="M24" s="111">
        <f t="shared" si="2"/>
        <v>4.6200000000000045</v>
      </c>
      <c r="N24" s="107">
        <v>64.582999999999998</v>
      </c>
      <c r="O24" s="107">
        <f t="shared" si="3"/>
        <v>36.011000000000003</v>
      </c>
      <c r="P24" s="154">
        <f t="shared" si="0"/>
        <v>102.88200000000001</v>
      </c>
      <c r="Q24" s="154">
        <f t="shared" si="4"/>
        <v>105.214</v>
      </c>
      <c r="R24" s="154">
        <f t="shared" si="5"/>
        <v>37.137</v>
      </c>
      <c r="S24" s="155">
        <f t="shared" si="8"/>
        <v>128.352</v>
      </c>
      <c r="T24" s="155">
        <f t="shared" si="9"/>
        <v>60.841999999999999</v>
      </c>
      <c r="U24" s="155">
        <f t="shared" si="7"/>
        <v>36.500500000000002</v>
      </c>
      <c r="V24" s="156">
        <f t="shared" si="6"/>
        <v>96.459000000000003</v>
      </c>
    </row>
    <row r="25" spans="1:22" x14ac:dyDescent="0.2">
      <c r="A25" s="14">
        <v>1983</v>
      </c>
      <c r="B25" s="107">
        <v>18.550999999999998</v>
      </c>
      <c r="C25" s="108">
        <v>38.317</v>
      </c>
      <c r="D25" s="108">
        <v>54.6</v>
      </c>
      <c r="E25" s="108">
        <v>113.43899999999999</v>
      </c>
      <c r="F25" s="108">
        <v>67.766999999999996</v>
      </c>
      <c r="G25" s="111">
        <v>201.505</v>
      </c>
      <c r="H25" s="107">
        <v>17.100000000000001</v>
      </c>
      <c r="I25" s="108">
        <f>2.4+3.4</f>
        <v>5.8</v>
      </c>
      <c r="J25" s="108">
        <f t="shared" si="1"/>
        <v>23.373000000000001</v>
      </c>
      <c r="K25" s="108">
        <v>46.273000000000003</v>
      </c>
      <c r="L25" s="108">
        <v>54.17</v>
      </c>
      <c r="M25" s="111">
        <f t="shared" si="2"/>
        <v>5.0240000000000009</v>
      </c>
      <c r="N25" s="107">
        <v>96.037999999999997</v>
      </c>
      <c r="O25" s="107">
        <f t="shared" si="3"/>
        <v>41.418999999999997</v>
      </c>
      <c r="P25" s="154">
        <f t="shared" si="0"/>
        <v>155.232</v>
      </c>
      <c r="Q25" s="154">
        <f t="shared" si="4"/>
        <v>142.48100000000002</v>
      </c>
      <c r="R25" s="154">
        <f t="shared" si="5"/>
        <v>54.414999999999985</v>
      </c>
      <c r="S25" s="155">
        <f t="shared" si="8"/>
        <v>167.93899999999999</v>
      </c>
      <c r="T25" s="155">
        <f t="shared" si="9"/>
        <v>80.31049999999999</v>
      </c>
      <c r="U25" s="155">
        <f t="shared" si="7"/>
        <v>45.775999999999996</v>
      </c>
      <c r="V25" s="156">
        <f t="shared" si="6"/>
        <v>129.05700000000002</v>
      </c>
    </row>
    <row r="26" spans="1:22" x14ac:dyDescent="0.2">
      <c r="A26" s="14">
        <v>1984</v>
      </c>
      <c r="B26" s="107">
        <v>21.826000000000001</v>
      </c>
      <c r="C26" s="108">
        <v>45.494999999999997</v>
      </c>
      <c r="D26" s="108">
        <v>62.174999999999997</v>
      </c>
      <c r="E26" s="108">
        <v>131.93799999999999</v>
      </c>
      <c r="F26" s="108">
        <v>76.828999999999994</v>
      </c>
      <c r="G26" s="111">
        <v>232.91900000000001</v>
      </c>
      <c r="H26" s="107">
        <v>16.899999999999999</v>
      </c>
      <c r="I26" s="108">
        <f>7.7+3.7</f>
        <v>11.4</v>
      </c>
      <c r="J26" s="108">
        <f t="shared" si="1"/>
        <v>23.603000000000002</v>
      </c>
      <c r="K26" s="108">
        <v>51.902999999999999</v>
      </c>
      <c r="L26" s="108">
        <v>67.117999999999995</v>
      </c>
      <c r="M26" s="111">
        <f t="shared" si="2"/>
        <v>6.0150000000000148</v>
      </c>
      <c r="N26" s="107">
        <v>107.883</v>
      </c>
      <c r="O26" s="107">
        <f t="shared" si="3"/>
        <v>56.692</v>
      </c>
      <c r="P26" s="154">
        <f t="shared" si="0"/>
        <v>181.01600000000002</v>
      </c>
      <c r="Q26" s="154">
        <f t="shared" si="4"/>
        <v>170.59000000000003</v>
      </c>
      <c r="R26" s="154">
        <f t="shared" si="5"/>
        <v>69.608999999999995</v>
      </c>
      <c r="S26" s="155">
        <f t="shared" si="8"/>
        <v>217.21199999999999</v>
      </c>
      <c r="T26" s="155">
        <f t="shared" si="9"/>
        <v>101.9605</v>
      </c>
      <c r="U26" s="155">
        <f t="shared" si="7"/>
        <v>62.011999999999986</v>
      </c>
      <c r="V26" s="156">
        <f t="shared" si="6"/>
        <v>168.12400000000002</v>
      </c>
    </row>
    <row r="27" spans="1:22" x14ac:dyDescent="0.2">
      <c r="A27" s="15">
        <v>1985</v>
      </c>
      <c r="B27" s="118">
        <v>9.0370000000000008</v>
      </c>
      <c r="C27" s="119">
        <v>52.756999999999998</v>
      </c>
      <c r="D27" s="119">
        <v>73.070999999999998</v>
      </c>
      <c r="E27" s="119">
        <v>138.33699999999999</v>
      </c>
      <c r="F27" s="119">
        <v>100.965</v>
      </c>
      <c r="G27" s="121">
        <v>270.51900000000001</v>
      </c>
      <c r="H27" s="118">
        <v>21.9</v>
      </c>
      <c r="I27" s="119">
        <f>2.2+5.2</f>
        <v>7.4</v>
      </c>
      <c r="J27" s="119">
        <f t="shared" si="1"/>
        <v>26.908000000000001</v>
      </c>
      <c r="K27" s="119">
        <v>56.207999999999998</v>
      </c>
      <c r="L27" s="119">
        <v>51.390999999999998</v>
      </c>
      <c r="M27" s="121">
        <f t="shared" si="2"/>
        <v>9.8770000000000095</v>
      </c>
      <c r="N27" s="118">
        <v>153.04300000000001</v>
      </c>
      <c r="O27" s="118">
        <f t="shared" si="3"/>
        <v>49.753999999999998</v>
      </c>
      <c r="P27" s="157">
        <f t="shared" si="0"/>
        <v>214.31100000000001</v>
      </c>
      <c r="Q27" s="157">
        <f t="shared" si="4"/>
        <v>212.67400000000001</v>
      </c>
      <c r="R27" s="157">
        <f t="shared" si="5"/>
        <v>80.49199999999999</v>
      </c>
      <c r="S27" s="158">
        <f t="shared" si="8"/>
        <v>251.71899999999999</v>
      </c>
      <c r="T27" s="158">
        <f t="shared" si="9"/>
        <v>130.46299999999999</v>
      </c>
      <c r="U27" s="158">
        <f t="shared" si="7"/>
        <v>75.0505</v>
      </c>
      <c r="V27" s="159">
        <f t="shared" si="6"/>
        <v>197.6635</v>
      </c>
    </row>
    <row r="28" spans="1:22" x14ac:dyDescent="0.2">
      <c r="A28" s="14">
        <v>1986</v>
      </c>
      <c r="B28" s="107">
        <v>35.893999999999998</v>
      </c>
      <c r="C28" s="108">
        <v>68.239999999999995</v>
      </c>
      <c r="D28" s="108">
        <v>82.192999999999998</v>
      </c>
      <c r="E28" s="108">
        <v>189.584</v>
      </c>
      <c r="F28" s="108">
        <v>113.423</v>
      </c>
      <c r="G28" s="111">
        <v>349.41199999999998</v>
      </c>
      <c r="H28" s="107">
        <v>23.5</v>
      </c>
      <c r="I28" s="108">
        <v>5.0999999999999996</v>
      </c>
      <c r="J28" s="108">
        <f t="shared" si="1"/>
        <v>38.211000000000006</v>
      </c>
      <c r="K28" s="108">
        <v>66.811000000000007</v>
      </c>
      <c r="L28" s="108">
        <v>88.346000000000004</v>
      </c>
      <c r="M28" s="111">
        <f t="shared" si="2"/>
        <v>11.148999999999944</v>
      </c>
      <c r="N28" s="107">
        <v>183.10599999999999</v>
      </c>
      <c r="O28" s="107">
        <f t="shared" si="3"/>
        <v>57.552</v>
      </c>
      <c r="P28" s="154">
        <f t="shared" si="0"/>
        <v>282.60099999999994</v>
      </c>
      <c r="Q28" s="154">
        <f t="shared" si="4"/>
        <v>251.80699999999993</v>
      </c>
      <c r="R28" s="154">
        <f t="shared" si="5"/>
        <v>91.978999999999985</v>
      </c>
      <c r="S28" s="155">
        <f t="shared" si="8"/>
        <v>309.96550000000002</v>
      </c>
      <c r="T28" s="155">
        <f t="shared" si="9"/>
        <v>168.0745</v>
      </c>
      <c r="U28" s="155">
        <f t="shared" si="7"/>
        <v>86.235499999999988</v>
      </c>
      <c r="V28" s="156">
        <f t="shared" si="6"/>
        <v>248.45599999999996</v>
      </c>
    </row>
    <row r="29" spans="1:22" x14ac:dyDescent="0.2">
      <c r="A29" s="14">
        <v>1987</v>
      </c>
      <c r="B29" s="107">
        <v>29.638000000000002</v>
      </c>
      <c r="C29" s="108">
        <v>79.588999999999999</v>
      </c>
      <c r="D29" s="108">
        <v>92.828000000000003</v>
      </c>
      <c r="E29" s="108">
        <v>208.209</v>
      </c>
      <c r="F29" s="108">
        <v>127.914</v>
      </c>
      <c r="G29" s="111">
        <v>384.29599999999999</v>
      </c>
      <c r="H29" s="107">
        <v>34.9</v>
      </c>
      <c r="I29" s="108">
        <v>4.8</v>
      </c>
      <c r="J29" s="108">
        <f t="shared" si="1"/>
        <v>38.295999999999999</v>
      </c>
      <c r="K29" s="108">
        <v>77.995999999999995</v>
      </c>
      <c r="L29" s="108">
        <v>83.578999999999994</v>
      </c>
      <c r="M29" s="111">
        <f t="shared" si="2"/>
        <v>13.238999999999976</v>
      </c>
      <c r="N29" s="107">
        <v>209.482</v>
      </c>
      <c r="O29" s="107">
        <f t="shared" si="3"/>
        <v>58.740999999999985</v>
      </c>
      <c r="P29" s="154">
        <f t="shared" si="0"/>
        <v>306.29999999999995</v>
      </c>
      <c r="Q29" s="154">
        <f t="shared" si="4"/>
        <v>281.46199999999999</v>
      </c>
      <c r="R29" s="154">
        <f t="shared" si="5"/>
        <v>105.375</v>
      </c>
      <c r="S29" s="155">
        <f t="shared" si="8"/>
        <v>366.85399999999998</v>
      </c>
      <c r="T29" s="155">
        <f t="shared" si="9"/>
        <v>196.29399999999998</v>
      </c>
      <c r="U29" s="155">
        <f t="shared" si="7"/>
        <v>98.676999999999992</v>
      </c>
      <c r="V29" s="156">
        <f t="shared" si="6"/>
        <v>294.45049999999992</v>
      </c>
    </row>
    <row r="30" spans="1:22" x14ac:dyDescent="0.2">
      <c r="A30" s="14">
        <v>1988</v>
      </c>
      <c r="B30" s="107">
        <v>7.024</v>
      </c>
      <c r="C30" s="108">
        <v>114.824</v>
      </c>
      <c r="D30" s="108">
        <v>122.428</v>
      </c>
      <c r="E30" s="108">
        <v>250.46899999999999</v>
      </c>
      <c r="F30" s="108">
        <v>176.21899999999999</v>
      </c>
      <c r="G30" s="111">
        <v>477.57799999999997</v>
      </c>
      <c r="H30" s="107">
        <v>52.5</v>
      </c>
      <c r="I30" s="108">
        <v>4.0999999999999996</v>
      </c>
      <c r="J30" s="108">
        <f t="shared" si="1"/>
        <v>46.535000000000004</v>
      </c>
      <c r="K30" s="108">
        <v>103.13500000000001</v>
      </c>
      <c r="L30" s="108">
        <v>106.83499999999999</v>
      </c>
      <c r="M30" s="111">
        <f t="shared" si="2"/>
        <v>22.159999999999968</v>
      </c>
      <c r="N30" s="107">
        <v>245.44800000000001</v>
      </c>
      <c r="O30" s="107">
        <f t="shared" si="3"/>
        <v>103.91099999999999</v>
      </c>
      <c r="P30" s="154">
        <f t="shared" si="0"/>
        <v>374.44299999999998</v>
      </c>
      <c r="Q30" s="154">
        <f t="shared" si="4"/>
        <v>371.51900000000001</v>
      </c>
      <c r="R30" s="154">
        <f t="shared" si="5"/>
        <v>144.41</v>
      </c>
      <c r="S30" s="155">
        <f t="shared" si="8"/>
        <v>430.93700000000001</v>
      </c>
      <c r="T30" s="155">
        <f t="shared" si="9"/>
        <v>227.465</v>
      </c>
      <c r="U30" s="155">
        <f t="shared" si="7"/>
        <v>124.8925</v>
      </c>
      <c r="V30" s="156">
        <f t="shared" si="6"/>
        <v>340.37149999999997</v>
      </c>
    </row>
    <row r="31" spans="1:22" x14ac:dyDescent="0.2">
      <c r="A31" s="14">
        <v>1989</v>
      </c>
      <c r="B31" s="107">
        <v>2.927</v>
      </c>
      <c r="C31" s="108">
        <v>136.48400000000001</v>
      </c>
      <c r="D31" s="108">
        <v>144.16399999999999</v>
      </c>
      <c r="E31" s="108">
        <v>292.80900000000003</v>
      </c>
      <c r="F31" s="108">
        <v>209.25700000000001</v>
      </c>
      <c r="G31" s="111">
        <v>568.34500000000003</v>
      </c>
      <c r="H31" s="107">
        <v>53.8</v>
      </c>
      <c r="I31" s="108">
        <v>3.5</v>
      </c>
      <c r="J31" s="108">
        <f t="shared" si="1"/>
        <v>55.44</v>
      </c>
      <c r="K31" s="108">
        <v>112.74</v>
      </c>
      <c r="L31" s="108">
        <v>147.45400000000001</v>
      </c>
      <c r="M31" s="111">
        <f t="shared" si="2"/>
        <v>26.54200000000003</v>
      </c>
      <c r="N31" s="107">
        <v>281.60899999999998</v>
      </c>
      <c r="O31" s="107">
        <f t="shared" si="3"/>
        <v>148.02700000000002</v>
      </c>
      <c r="P31" s="154">
        <f t="shared" si="0"/>
        <v>455.60500000000002</v>
      </c>
      <c r="Q31" s="154">
        <f t="shared" si="4"/>
        <v>456.178</v>
      </c>
      <c r="R31" s="154">
        <f t="shared" si="5"/>
        <v>180.642</v>
      </c>
      <c r="S31" s="155">
        <f t="shared" si="8"/>
        <v>522.9615</v>
      </c>
      <c r="T31" s="155">
        <f t="shared" si="9"/>
        <v>263.52850000000001</v>
      </c>
      <c r="U31" s="155">
        <f t="shared" si="7"/>
        <v>162.52600000000001</v>
      </c>
      <c r="V31" s="156">
        <f t="shared" si="6"/>
        <v>415.024</v>
      </c>
    </row>
    <row r="32" spans="1:22" x14ac:dyDescent="0.2">
      <c r="A32" s="15">
        <v>1990</v>
      </c>
      <c r="B32" s="118">
        <v>3.3029999999999999</v>
      </c>
      <c r="C32" s="119">
        <v>146.23500000000001</v>
      </c>
      <c r="D32" s="119">
        <v>171.95</v>
      </c>
      <c r="E32" s="119">
        <v>342.43799999999999</v>
      </c>
      <c r="F32" s="119">
        <v>224.846</v>
      </c>
      <c r="G32" s="121">
        <v>676.14</v>
      </c>
      <c r="H32" s="118">
        <v>56.2</v>
      </c>
      <c r="I32" s="119">
        <v>3.1</v>
      </c>
      <c r="J32" s="119">
        <f t="shared" si="1"/>
        <v>68.653999999999996</v>
      </c>
      <c r="K32" s="119">
        <v>127.95399999999999</v>
      </c>
      <c r="L32" s="119">
        <v>212.81200000000001</v>
      </c>
      <c r="M32" s="121">
        <f t="shared" si="2"/>
        <v>32.769999999999982</v>
      </c>
      <c r="N32" s="118">
        <v>302.60399999999998</v>
      </c>
      <c r="O32" s="118">
        <f t="shared" si="3"/>
        <v>212.60900000000001</v>
      </c>
      <c r="P32" s="157">
        <f t="shared" si="0"/>
        <v>548.18599999999992</v>
      </c>
      <c r="Q32" s="157">
        <f t="shared" si="4"/>
        <v>547.98299999999995</v>
      </c>
      <c r="R32" s="157">
        <f t="shared" si="5"/>
        <v>214.28099999999998</v>
      </c>
      <c r="S32" s="158">
        <f t="shared" si="8"/>
        <v>622.24250000000006</v>
      </c>
      <c r="T32" s="158">
        <f t="shared" si="9"/>
        <v>292.10649999999998</v>
      </c>
      <c r="U32" s="158">
        <f t="shared" si="7"/>
        <v>197.4615</v>
      </c>
      <c r="V32" s="159">
        <f t="shared" si="6"/>
        <v>501.89549999999997</v>
      </c>
    </row>
    <row r="33" spans="1:22" x14ac:dyDescent="0.2">
      <c r="A33" s="14">
        <v>1991</v>
      </c>
      <c r="B33" s="107">
        <v>5.2830000000000004</v>
      </c>
      <c r="C33" s="108">
        <v>140.80000000000001</v>
      </c>
      <c r="D33" s="108">
        <v>157.28200000000001</v>
      </c>
      <c r="E33" s="108">
        <v>321.70400000000001</v>
      </c>
      <c r="F33" s="108">
        <v>234.173</v>
      </c>
      <c r="G33" s="111">
        <v>656.10400000000004</v>
      </c>
      <c r="H33" s="107">
        <v>39</v>
      </c>
      <c r="I33" s="108">
        <v>3.2</v>
      </c>
      <c r="J33" s="108">
        <f t="shared" si="1"/>
        <v>68.36999999999999</v>
      </c>
      <c r="K33" s="108">
        <v>110.57</v>
      </c>
      <c r="L33" s="108">
        <v>179.36099999999999</v>
      </c>
      <c r="M33" s="111">
        <f t="shared" si="2"/>
        <v>33.58400000000006</v>
      </c>
      <c r="N33" s="107">
        <v>332.589</v>
      </c>
      <c r="O33" s="107">
        <f t="shared" si="3"/>
        <v>177.27799999999999</v>
      </c>
      <c r="P33" s="154">
        <f t="shared" si="0"/>
        <v>545.53400000000011</v>
      </c>
      <c r="Q33" s="154">
        <f t="shared" si="4"/>
        <v>543.45100000000014</v>
      </c>
      <c r="R33" s="154">
        <f t="shared" si="5"/>
        <v>209.05099999999999</v>
      </c>
      <c r="S33" s="155">
        <f t="shared" si="8"/>
        <v>666.12200000000007</v>
      </c>
      <c r="T33" s="155">
        <f t="shared" si="9"/>
        <v>317.59649999999999</v>
      </c>
      <c r="U33" s="155">
        <f t="shared" si="7"/>
        <v>211.666</v>
      </c>
      <c r="V33" s="156">
        <f t="shared" si="6"/>
        <v>546.86</v>
      </c>
    </row>
    <row r="34" spans="1:22" x14ac:dyDescent="0.2">
      <c r="A34" s="14">
        <v>1992</v>
      </c>
      <c r="B34" s="107">
        <v>4.0220000000000002</v>
      </c>
      <c r="C34" s="108">
        <f>146.459+10.351</f>
        <v>156.81</v>
      </c>
      <c r="D34" s="108">
        <v>161.09299999999999</v>
      </c>
      <c r="E34" s="108">
        <v>340.16500000000002</v>
      </c>
      <c r="F34" s="108">
        <v>230.69300000000001</v>
      </c>
      <c r="G34" s="111">
        <v>678.03099999999995</v>
      </c>
      <c r="H34" s="107">
        <v>42.7</v>
      </c>
      <c r="I34" s="108">
        <v>1</v>
      </c>
      <c r="J34" s="108">
        <f t="shared" si="1"/>
        <v>74.894999999999996</v>
      </c>
      <c r="K34" s="108">
        <v>118.595</v>
      </c>
      <c r="L34" s="108">
        <v>101.49299999999999</v>
      </c>
      <c r="M34" s="111">
        <f t="shared" si="2"/>
        <v>32.774000000000001</v>
      </c>
      <c r="N34" s="107">
        <v>425.16899999999998</v>
      </c>
      <c r="O34" s="107">
        <f t="shared" si="3"/>
        <v>98.470999999999989</v>
      </c>
      <c r="P34" s="154">
        <f t="shared" si="0"/>
        <v>559.43599999999992</v>
      </c>
      <c r="Q34" s="154">
        <f t="shared" si="4"/>
        <v>556.41399999999987</v>
      </c>
      <c r="R34" s="154">
        <f t="shared" si="5"/>
        <v>218.54800000000003</v>
      </c>
      <c r="S34" s="155">
        <f t="shared" si="8"/>
        <v>667.0675</v>
      </c>
      <c r="T34" s="155">
        <f t="shared" si="9"/>
        <v>378.87900000000002</v>
      </c>
      <c r="U34" s="155">
        <f t="shared" si="7"/>
        <v>213.79950000000002</v>
      </c>
      <c r="V34" s="156">
        <f t="shared" si="6"/>
        <v>552.48500000000001</v>
      </c>
    </row>
    <row r="35" spans="1:22" x14ac:dyDescent="0.2">
      <c r="A35" s="17">
        <v>1993</v>
      </c>
      <c r="B35" s="107">
        <v>0.4</v>
      </c>
      <c r="C35" s="108">
        <f>194.6+10.1</f>
        <v>204.7</v>
      </c>
      <c r="D35" s="108">
        <v>209.1</v>
      </c>
      <c r="E35" s="108">
        <v>435.6</v>
      </c>
      <c r="F35" s="108">
        <v>313.10000000000002</v>
      </c>
      <c r="G35" s="111">
        <v>901.9</v>
      </c>
      <c r="H35" s="107">
        <v>74.099999999999994</v>
      </c>
      <c r="I35" s="108">
        <v>1.4</v>
      </c>
      <c r="J35" s="108">
        <f t="shared" si="1"/>
        <v>90.699999999999989</v>
      </c>
      <c r="K35" s="108">
        <v>166.2</v>
      </c>
      <c r="L35" s="108">
        <v>165.8</v>
      </c>
      <c r="M35" s="111">
        <f t="shared" si="2"/>
        <v>54.299999999999955</v>
      </c>
      <c r="N35" s="107">
        <v>515.6</v>
      </c>
      <c r="O35" s="107">
        <f t="shared" si="3"/>
        <v>166.8</v>
      </c>
      <c r="P35" s="154">
        <f t="shared" si="0"/>
        <v>735.7</v>
      </c>
      <c r="Q35" s="154">
        <f t="shared" si="4"/>
        <v>736.7</v>
      </c>
      <c r="R35" s="154">
        <f t="shared" si="5"/>
        <v>270.40000000000003</v>
      </c>
      <c r="S35" s="155">
        <f t="shared" si="8"/>
        <v>789.96550000000002</v>
      </c>
      <c r="T35" s="155">
        <f t="shared" si="9"/>
        <v>470.3845</v>
      </c>
      <c r="U35" s="155">
        <f t="shared" si="7"/>
        <v>244.47400000000005</v>
      </c>
      <c r="V35" s="156">
        <f t="shared" si="6"/>
        <v>647.56799999999998</v>
      </c>
    </row>
    <row r="36" spans="1:22" x14ac:dyDescent="0.2">
      <c r="A36" s="14">
        <v>1994</v>
      </c>
      <c r="B36" s="107">
        <v>2.7</v>
      </c>
      <c r="C36" s="108">
        <f>245.3+9</f>
        <v>254.3</v>
      </c>
      <c r="D36" s="108">
        <v>255.5</v>
      </c>
      <c r="E36" s="108">
        <v>544.70000000000005</v>
      </c>
      <c r="F36" s="108">
        <v>396</v>
      </c>
      <c r="G36" s="111">
        <v>1119.9000000000001</v>
      </c>
      <c r="H36" s="107">
        <v>89.9</v>
      </c>
      <c r="I36" s="108">
        <v>3.9</v>
      </c>
      <c r="J36" s="108">
        <f t="shared" si="1"/>
        <v>139.1</v>
      </c>
      <c r="K36" s="108">
        <v>232.9</v>
      </c>
      <c r="L36" s="108">
        <v>204.9</v>
      </c>
      <c r="M36" s="111">
        <f t="shared" si="2"/>
        <v>56.900000000000091</v>
      </c>
      <c r="N36" s="107">
        <v>625.20000000000005</v>
      </c>
      <c r="O36" s="107">
        <f t="shared" si="3"/>
        <v>206.10000000000002</v>
      </c>
      <c r="P36" s="154">
        <f t="shared" si="0"/>
        <v>887.00000000000011</v>
      </c>
      <c r="Q36" s="154">
        <f t="shared" si="4"/>
        <v>888.2</v>
      </c>
      <c r="R36" s="154">
        <f t="shared" si="5"/>
        <v>313</v>
      </c>
      <c r="S36" s="155">
        <f t="shared" si="8"/>
        <v>1010.9000000000001</v>
      </c>
      <c r="T36" s="155">
        <f t="shared" si="9"/>
        <v>570.40000000000009</v>
      </c>
      <c r="U36" s="155">
        <f t="shared" si="7"/>
        <v>291.70000000000005</v>
      </c>
      <c r="V36" s="156">
        <f t="shared" si="6"/>
        <v>811.35000000000014</v>
      </c>
    </row>
    <row r="37" spans="1:22" x14ac:dyDescent="0.2">
      <c r="A37" s="15">
        <v>1995</v>
      </c>
      <c r="B37" s="118">
        <v>6.7</v>
      </c>
      <c r="C37" s="119">
        <f>248+6.2</f>
        <v>254.2</v>
      </c>
      <c r="D37" s="119">
        <v>276.8</v>
      </c>
      <c r="E37" s="119">
        <v>571.9</v>
      </c>
      <c r="F37" s="119">
        <v>451.8</v>
      </c>
      <c r="G37" s="121">
        <v>1218.3</v>
      </c>
      <c r="H37" s="118">
        <v>90.4</v>
      </c>
      <c r="I37" s="119">
        <v>4</v>
      </c>
      <c r="J37" s="119">
        <f t="shared" si="1"/>
        <v>132.4</v>
      </c>
      <c r="K37" s="119">
        <v>226.8</v>
      </c>
      <c r="L37" s="119">
        <v>191.9</v>
      </c>
      <c r="M37" s="121">
        <f t="shared" si="2"/>
        <v>65.499999999999773</v>
      </c>
      <c r="N37" s="118">
        <v>734.1</v>
      </c>
      <c r="O37" s="118">
        <f t="shared" si="3"/>
        <v>189.20000000000002</v>
      </c>
      <c r="P37" s="157">
        <f t="shared" si="0"/>
        <v>991.49999999999977</v>
      </c>
      <c r="Q37" s="157">
        <f t="shared" si="4"/>
        <v>988.79999999999973</v>
      </c>
      <c r="R37" s="157">
        <f t="shared" si="5"/>
        <v>342.39999999999992</v>
      </c>
      <c r="S37" s="158">
        <f t="shared" si="8"/>
        <v>1169.0999999999999</v>
      </c>
      <c r="T37" s="158">
        <f t="shared" si="9"/>
        <v>679.65000000000009</v>
      </c>
      <c r="U37" s="158">
        <f t="shared" si="7"/>
        <v>327.69999999999993</v>
      </c>
      <c r="V37" s="159">
        <f t="shared" si="6"/>
        <v>939.25</v>
      </c>
    </row>
    <row r="38" spans="1:22" x14ac:dyDescent="0.2">
      <c r="A38" s="14">
        <v>1996</v>
      </c>
      <c r="B38" s="107">
        <v>3.7</v>
      </c>
      <c r="C38" s="108">
        <f>326.8+8.5</f>
        <v>335.3</v>
      </c>
      <c r="D38" s="108">
        <v>379.6</v>
      </c>
      <c r="E38" s="108">
        <v>763.3</v>
      </c>
      <c r="F38" s="108">
        <v>582.9</v>
      </c>
      <c r="G38" s="111">
        <v>1712.9</v>
      </c>
      <c r="H38" s="107">
        <v>110.3</v>
      </c>
      <c r="I38" s="108">
        <v>3.9</v>
      </c>
      <c r="J38" s="108">
        <f t="shared" si="1"/>
        <v>178.6</v>
      </c>
      <c r="K38" s="108">
        <v>292.8</v>
      </c>
      <c r="L38" s="108">
        <v>388.5</v>
      </c>
      <c r="M38" s="111">
        <f t="shared" si="2"/>
        <v>90.5</v>
      </c>
      <c r="N38" s="107">
        <v>941.1</v>
      </c>
      <c r="O38" s="107">
        <f>+L38+I38-B38</f>
        <v>388.7</v>
      </c>
      <c r="P38" s="154">
        <f t="shared" si="0"/>
        <v>1420.1</v>
      </c>
      <c r="Q38" s="154">
        <f t="shared" si="4"/>
        <v>1420.3</v>
      </c>
      <c r="R38" s="154">
        <f t="shared" si="5"/>
        <v>470.69999999999987</v>
      </c>
      <c r="S38" s="155">
        <f t="shared" si="8"/>
        <v>1465.6</v>
      </c>
      <c r="T38" s="155">
        <f t="shared" si="9"/>
        <v>837.6</v>
      </c>
      <c r="U38" s="155">
        <f t="shared" si="7"/>
        <v>406.5499999999999</v>
      </c>
      <c r="V38" s="156">
        <f t="shared" si="6"/>
        <v>1205.7999999999997</v>
      </c>
    </row>
    <row r="39" spans="1:22" x14ac:dyDescent="0.2">
      <c r="A39" s="14">
        <v>1997</v>
      </c>
      <c r="B39" s="107">
        <v>7.7</v>
      </c>
      <c r="C39" s="108">
        <v>438.6</v>
      </c>
      <c r="D39" s="108">
        <v>433.2</v>
      </c>
      <c r="E39" s="108">
        <v>944.6</v>
      </c>
      <c r="F39" s="108">
        <v>693.2</v>
      </c>
      <c r="G39" s="111">
        <v>2106.3000000000002</v>
      </c>
      <c r="H39" s="107">
        <v>128.69999999999999</v>
      </c>
      <c r="I39" s="108">
        <v>4.7</v>
      </c>
      <c r="J39" s="108">
        <f t="shared" si="1"/>
        <v>239.10000000000002</v>
      </c>
      <c r="K39" s="108">
        <v>372.5</v>
      </c>
      <c r="L39" s="108">
        <v>466.2</v>
      </c>
      <c r="M39" s="111">
        <f t="shared" si="2"/>
        <v>93.600000000000136</v>
      </c>
      <c r="N39" s="107">
        <v>1174</v>
      </c>
      <c r="O39" s="107">
        <f t="shared" ref="O39:O48" si="10">+L39+I39-B39</f>
        <v>463.2</v>
      </c>
      <c r="P39" s="154">
        <f t="shared" si="0"/>
        <v>1733.8000000000002</v>
      </c>
      <c r="Q39" s="154">
        <f t="shared" si="4"/>
        <v>1730.8000000000002</v>
      </c>
      <c r="R39" s="154">
        <f t="shared" si="5"/>
        <v>569.1</v>
      </c>
      <c r="S39" s="155">
        <f t="shared" si="8"/>
        <v>1909.6000000000001</v>
      </c>
      <c r="T39" s="155">
        <f t="shared" si="9"/>
        <v>1057.55</v>
      </c>
      <c r="U39" s="155">
        <f t="shared" si="7"/>
        <v>519.9</v>
      </c>
      <c r="V39" s="156">
        <f t="shared" si="6"/>
        <v>1576.95</v>
      </c>
    </row>
    <row r="40" spans="1:22" x14ac:dyDescent="0.2">
      <c r="A40" s="14">
        <v>1998</v>
      </c>
      <c r="B40" s="107">
        <v>83.5</v>
      </c>
      <c r="C40" s="108">
        <v>503.1</v>
      </c>
      <c r="D40" s="108">
        <v>486.2</v>
      </c>
      <c r="E40" s="108">
        <v>1137.0999999999999</v>
      </c>
      <c r="F40" s="108">
        <v>820.4</v>
      </c>
      <c r="G40" s="111">
        <v>2535.3000000000002</v>
      </c>
      <c r="H40" s="107">
        <v>134.80000000000001</v>
      </c>
      <c r="I40" s="108">
        <v>5.2</v>
      </c>
      <c r="J40" s="108">
        <f t="shared" si="1"/>
        <v>261.39999999999998</v>
      </c>
      <c r="K40" s="108">
        <v>401.4</v>
      </c>
      <c r="L40" s="108">
        <v>574.1</v>
      </c>
      <c r="M40" s="111">
        <f t="shared" si="2"/>
        <v>123</v>
      </c>
      <c r="N40" s="107">
        <v>1436.8</v>
      </c>
      <c r="O40" s="107">
        <f t="shared" si="10"/>
        <v>495.80000000000007</v>
      </c>
      <c r="P40" s="154">
        <f t="shared" si="0"/>
        <v>2133.9</v>
      </c>
      <c r="Q40" s="154">
        <f t="shared" si="4"/>
        <v>2055.6</v>
      </c>
      <c r="R40" s="154">
        <f t="shared" si="5"/>
        <v>657.4</v>
      </c>
      <c r="S40" s="155">
        <f t="shared" si="8"/>
        <v>2320.8000000000002</v>
      </c>
      <c r="T40" s="155">
        <f t="shared" si="9"/>
        <v>1305.4000000000001</v>
      </c>
      <c r="U40" s="155">
        <f t="shared" si="7"/>
        <v>613.25</v>
      </c>
      <c r="V40" s="156">
        <f t="shared" si="6"/>
        <v>1933.8500000000001</v>
      </c>
    </row>
    <row r="41" spans="1:22" x14ac:dyDescent="0.2">
      <c r="A41" s="14">
        <v>1999</v>
      </c>
      <c r="B41" s="107">
        <v>20.6</v>
      </c>
      <c r="C41" s="108">
        <v>559.4</v>
      </c>
      <c r="D41" s="108">
        <v>605.79999999999995</v>
      </c>
      <c r="E41" s="108">
        <v>1256.2</v>
      </c>
      <c r="F41" s="108">
        <v>915</v>
      </c>
      <c r="G41" s="111">
        <v>2977.5</v>
      </c>
      <c r="H41" s="107">
        <v>146.1</v>
      </c>
      <c r="I41" s="108">
        <v>3.8</v>
      </c>
      <c r="J41" s="108">
        <f t="shared" si="1"/>
        <v>281.59999999999997</v>
      </c>
      <c r="K41" s="108">
        <v>431.5</v>
      </c>
      <c r="L41" s="108">
        <v>787.4</v>
      </c>
      <c r="M41" s="111">
        <f t="shared" si="2"/>
        <v>112.39999999999964</v>
      </c>
      <c r="N41" s="107">
        <v>1646.2</v>
      </c>
      <c r="O41" s="107">
        <f t="shared" si="10"/>
        <v>770.59999999999991</v>
      </c>
      <c r="P41" s="154">
        <f t="shared" si="0"/>
        <v>2545.9999999999995</v>
      </c>
      <c r="Q41" s="154">
        <f t="shared" si="4"/>
        <v>2529.1999999999998</v>
      </c>
      <c r="R41" s="154">
        <f t="shared" si="5"/>
        <v>807.90000000000009</v>
      </c>
      <c r="S41" s="155">
        <f t="shared" si="8"/>
        <v>2756.4</v>
      </c>
      <c r="T41" s="155">
        <f t="shared" si="9"/>
        <v>1541.5</v>
      </c>
      <c r="U41" s="155">
        <f t="shared" si="7"/>
        <v>732.65000000000009</v>
      </c>
      <c r="V41" s="156">
        <f t="shared" si="6"/>
        <v>2339.9499999999998</v>
      </c>
    </row>
    <row r="42" spans="1:22" x14ac:dyDescent="0.2">
      <c r="A42" s="15">
        <v>2000</v>
      </c>
      <c r="B42" s="118">
        <v>37.299999999999997</v>
      </c>
      <c r="C42" s="119">
        <v>634.20000000000005</v>
      </c>
      <c r="D42" s="119">
        <v>671.8</v>
      </c>
      <c r="E42" s="119">
        <v>1405.3</v>
      </c>
      <c r="F42" s="119">
        <v>1018.4</v>
      </c>
      <c r="G42" s="121">
        <v>3373.2</v>
      </c>
      <c r="H42" s="118">
        <v>179.4</v>
      </c>
      <c r="I42" s="119">
        <v>5.9</v>
      </c>
      <c r="J42" s="119">
        <f t="shared" si="1"/>
        <v>291.30000000000007</v>
      </c>
      <c r="K42" s="119">
        <v>476.6</v>
      </c>
      <c r="L42" s="119">
        <v>988.4</v>
      </c>
      <c r="M42" s="121">
        <f t="shared" si="2"/>
        <v>114.39999999999964</v>
      </c>
      <c r="N42" s="118">
        <v>1793.8</v>
      </c>
      <c r="O42" s="118">
        <f t="shared" si="10"/>
        <v>957</v>
      </c>
      <c r="P42" s="157">
        <f t="shared" si="0"/>
        <v>2896.5999999999995</v>
      </c>
      <c r="Q42" s="157">
        <f t="shared" si="4"/>
        <v>2865.1999999999994</v>
      </c>
      <c r="R42" s="157">
        <f t="shared" si="5"/>
        <v>897.3</v>
      </c>
      <c r="S42" s="158">
        <f t="shared" ref="S42:S47" si="11">AVERAGE(G41:G42)</f>
        <v>3175.35</v>
      </c>
      <c r="T42" s="158">
        <f t="shared" ref="T42:T47" si="12">AVERAGE(N41:N42)</f>
        <v>1720</v>
      </c>
      <c r="U42" s="158">
        <f t="shared" si="7"/>
        <v>852.6</v>
      </c>
      <c r="V42" s="159">
        <f t="shared" si="6"/>
        <v>2721.2999999999993</v>
      </c>
    </row>
    <row r="43" spans="1:22" s="4" customFormat="1" ht="13.5" customHeight="1" x14ac:dyDescent="0.2">
      <c r="A43" s="14">
        <v>2001</v>
      </c>
      <c r="B43" s="107">
        <v>187.2</v>
      </c>
      <c r="C43" s="108">
        <v>562.5</v>
      </c>
      <c r="D43" s="108">
        <v>601.29999999999995</v>
      </c>
      <c r="E43" s="108">
        <v>1421.9</v>
      </c>
      <c r="F43" s="108">
        <v>961.9</v>
      </c>
      <c r="G43" s="111">
        <v>3412.9</v>
      </c>
      <c r="H43" s="107">
        <v>162.4</v>
      </c>
      <c r="I43" s="108">
        <v>5.8</v>
      </c>
      <c r="J43" s="108">
        <f t="shared" si="1"/>
        <v>288.8</v>
      </c>
      <c r="K43" s="108">
        <v>457</v>
      </c>
      <c r="L43" s="108">
        <v>977.6</v>
      </c>
      <c r="M43" s="111">
        <f t="shared" si="2"/>
        <v>111.70000000000027</v>
      </c>
      <c r="N43" s="107">
        <v>1866.6</v>
      </c>
      <c r="O43" s="107">
        <f t="shared" si="10"/>
        <v>796.2</v>
      </c>
      <c r="P43" s="154">
        <f t="shared" si="0"/>
        <v>2955.9</v>
      </c>
      <c r="Q43" s="154">
        <f t="shared" si="4"/>
        <v>2774.5000000000005</v>
      </c>
      <c r="R43" s="154">
        <f t="shared" si="5"/>
        <v>783.5</v>
      </c>
      <c r="S43" s="155">
        <f t="shared" si="11"/>
        <v>3393.05</v>
      </c>
      <c r="T43" s="155">
        <f t="shared" si="12"/>
        <v>1830.1999999999998</v>
      </c>
      <c r="U43" s="155">
        <f t="shared" ref="U43:U48" si="13">AVERAGE(R42:R43)</f>
        <v>840.4</v>
      </c>
      <c r="V43" s="156">
        <f t="shared" ref="V43:V48" si="14">AVERAGE(P42:P43)</f>
        <v>2926.25</v>
      </c>
    </row>
    <row r="44" spans="1:22" s="4" customFormat="1" x14ac:dyDescent="0.2">
      <c r="A44" s="17">
        <v>2002</v>
      </c>
      <c r="B44" s="107">
        <v>225</v>
      </c>
      <c r="C44" s="108">
        <v>569</v>
      </c>
      <c r="D44" s="108">
        <v>625.70000000000005</v>
      </c>
      <c r="E44" s="108">
        <v>1488</v>
      </c>
      <c r="F44" s="108">
        <v>960.7</v>
      </c>
      <c r="G44" s="111">
        <v>3501.1</v>
      </c>
      <c r="H44" s="107">
        <v>181.9</v>
      </c>
      <c r="I44" s="108">
        <v>127.7</v>
      </c>
      <c r="J44" s="108">
        <f t="shared" si="1"/>
        <v>288.40000000000003</v>
      </c>
      <c r="K44" s="108">
        <v>598</v>
      </c>
      <c r="L44" s="108">
        <v>808.6</v>
      </c>
      <c r="M44" s="111">
        <f t="shared" si="2"/>
        <v>117.59999999999991</v>
      </c>
      <c r="N44" s="107">
        <v>1976.9</v>
      </c>
      <c r="O44" s="107">
        <f t="shared" si="10"/>
        <v>711.30000000000007</v>
      </c>
      <c r="P44" s="154">
        <f>L44+M44+N44</f>
        <v>2903.1</v>
      </c>
      <c r="Q44" s="154">
        <f t="shared" si="4"/>
        <v>2805.7999999999997</v>
      </c>
      <c r="R44" s="154">
        <f t="shared" si="5"/>
        <v>792.7</v>
      </c>
      <c r="S44" s="155">
        <f t="shared" si="11"/>
        <v>3457</v>
      </c>
      <c r="T44" s="155">
        <f t="shared" si="12"/>
        <v>1921.75</v>
      </c>
      <c r="U44" s="155">
        <f t="shared" si="13"/>
        <v>788.1</v>
      </c>
      <c r="V44" s="156">
        <f t="shared" si="14"/>
        <v>2929.5</v>
      </c>
    </row>
    <row r="45" spans="1:22" s="4" customFormat="1" x14ac:dyDescent="0.2">
      <c r="A45" s="17">
        <v>2003</v>
      </c>
      <c r="B45" s="107">
        <v>443.9</v>
      </c>
      <c r="C45" s="108">
        <v>680.7</v>
      </c>
      <c r="D45" s="108">
        <v>628.29999999999995</v>
      </c>
      <c r="E45" s="108">
        <v>1819.4</v>
      </c>
      <c r="F45" s="108">
        <v>967.1</v>
      </c>
      <c r="G45" s="111">
        <v>3889.7</v>
      </c>
      <c r="H45" s="107">
        <v>195.2</v>
      </c>
      <c r="I45" s="108">
        <v>119.4</v>
      </c>
      <c r="J45" s="108">
        <v>311.3</v>
      </c>
      <c r="K45" s="108">
        <v>625.9</v>
      </c>
      <c r="L45" s="108">
        <v>1012.2</v>
      </c>
      <c r="M45" s="111">
        <f t="shared" si="2"/>
        <v>137.59999999999991</v>
      </c>
      <c r="N45" s="107">
        <v>2114</v>
      </c>
      <c r="O45" s="107">
        <f t="shared" si="10"/>
        <v>687.70000000000016</v>
      </c>
      <c r="P45" s="154">
        <f>L45+M45+N45</f>
        <v>3263.8</v>
      </c>
      <c r="Q45" s="154">
        <f t="shared" si="4"/>
        <v>2939.3</v>
      </c>
      <c r="R45" s="154">
        <f t="shared" si="5"/>
        <v>869</v>
      </c>
      <c r="S45" s="155">
        <f t="shared" si="11"/>
        <v>3695.3999999999996</v>
      </c>
      <c r="T45" s="155">
        <f t="shared" si="12"/>
        <v>2045.45</v>
      </c>
      <c r="U45" s="155">
        <f t="shared" si="13"/>
        <v>830.85</v>
      </c>
      <c r="V45" s="156">
        <f t="shared" si="14"/>
        <v>3083.45</v>
      </c>
    </row>
    <row r="46" spans="1:22" s="4" customFormat="1" x14ac:dyDescent="0.2">
      <c r="A46" s="17">
        <v>2004</v>
      </c>
      <c r="B46" s="107">
        <v>491.3</v>
      </c>
      <c r="C46" s="108">
        <v>790.7</v>
      </c>
      <c r="D46" s="108">
        <v>705.7</v>
      </c>
      <c r="E46" s="108">
        <v>2064.8000000000002</v>
      </c>
      <c r="F46" s="108">
        <v>960.7</v>
      </c>
      <c r="G46" s="111">
        <v>4197.2</v>
      </c>
      <c r="H46" s="107">
        <v>224.4</v>
      </c>
      <c r="I46" s="108">
        <v>401.3</v>
      </c>
      <c r="J46" s="108">
        <f>239.5+94.4</f>
        <v>333.9</v>
      </c>
      <c r="K46" s="108">
        <v>959.6</v>
      </c>
      <c r="L46" s="108">
        <v>779.4</v>
      </c>
      <c r="M46" s="111">
        <f>59.5+85.6</f>
        <v>145.1</v>
      </c>
      <c r="N46" s="107">
        <v>2313.1</v>
      </c>
      <c r="O46" s="107">
        <f t="shared" si="10"/>
        <v>689.40000000000009</v>
      </c>
      <c r="P46" s="154">
        <f>L46+M46+N46</f>
        <v>3237.6</v>
      </c>
      <c r="Q46" s="154">
        <f>+P46-B46+I46</f>
        <v>3147.6</v>
      </c>
      <c r="R46" s="154">
        <f t="shared" si="5"/>
        <v>1015.2000000000003</v>
      </c>
      <c r="S46" s="155">
        <f t="shared" si="11"/>
        <v>4043.45</v>
      </c>
      <c r="T46" s="155">
        <f t="shared" si="12"/>
        <v>2213.5500000000002</v>
      </c>
      <c r="U46" s="155">
        <f t="shared" si="13"/>
        <v>942.10000000000014</v>
      </c>
      <c r="V46" s="156">
        <f t="shared" si="14"/>
        <v>3250.7</v>
      </c>
    </row>
    <row r="47" spans="1:22" x14ac:dyDescent="0.2">
      <c r="A47" s="15">
        <v>2005</v>
      </c>
      <c r="B47" s="118">
        <f>61.841+3.017</f>
        <v>64.858000000000004</v>
      </c>
      <c r="C47" s="119">
        <f>827.88-20.796+40.539</f>
        <v>847.62299999999993</v>
      </c>
      <c r="D47" s="119">
        <f>767.136</f>
        <v>767.13599999999997</v>
      </c>
      <c r="E47" s="119">
        <f>B47+C47+D47+37.812+23.867+21.992</f>
        <v>1763.2879999999998</v>
      </c>
      <c r="F47" s="119">
        <v>971.06</v>
      </c>
      <c r="G47" s="121">
        <f>E47+F47+1318.275</f>
        <v>4052.623</v>
      </c>
      <c r="H47" s="118">
        <v>254.22399999999999</v>
      </c>
      <c r="I47" s="119">
        <v>98.575999999999993</v>
      </c>
      <c r="J47" s="119">
        <v>385.2</v>
      </c>
      <c r="K47" s="119">
        <v>738</v>
      </c>
      <c r="L47" s="119">
        <v>921.64700000000005</v>
      </c>
      <c r="M47" s="121">
        <v>144</v>
      </c>
      <c r="N47" s="157">
        <f>G47-K47-L47-M47</f>
        <v>2248.9760000000001</v>
      </c>
      <c r="O47" s="157">
        <f t="shared" si="10"/>
        <v>955.36500000000001</v>
      </c>
      <c r="P47" s="157">
        <f>L47+M47+N47</f>
        <v>3314.623</v>
      </c>
      <c r="Q47" s="157">
        <f>+P47-B47+I47</f>
        <v>3348.3409999999999</v>
      </c>
      <c r="R47" s="157">
        <f>+E47-B47-K47+I47</f>
        <v>1059.0059999999999</v>
      </c>
      <c r="S47" s="158">
        <f t="shared" si="11"/>
        <v>4124.9115000000002</v>
      </c>
      <c r="T47" s="158">
        <f t="shared" si="12"/>
        <v>2281.038</v>
      </c>
      <c r="U47" s="158">
        <f t="shared" si="13"/>
        <v>1037.1030000000001</v>
      </c>
      <c r="V47" s="159">
        <f t="shared" si="14"/>
        <v>3276.1115</v>
      </c>
    </row>
    <row r="48" spans="1:22" s="4" customFormat="1" ht="13.5" customHeight="1" thickBot="1" x14ac:dyDescent="0.25">
      <c r="A48" s="322">
        <v>2006</v>
      </c>
      <c r="B48" s="302">
        <v>131.9</v>
      </c>
      <c r="C48" s="303">
        <v>853.8</v>
      </c>
      <c r="D48" s="303">
        <v>826.3</v>
      </c>
      <c r="E48" s="303">
        <f>B48+C48+D48+82.1</f>
        <v>1894.1</v>
      </c>
      <c r="F48" s="303">
        <v>962.8</v>
      </c>
      <c r="G48" s="305">
        <f>E48+F48+1408.4</f>
        <v>4265.2999999999993</v>
      </c>
      <c r="H48" s="302">
        <v>259</v>
      </c>
      <c r="I48" s="303">
        <v>52</v>
      </c>
      <c r="J48" s="303">
        <f>268+112.2</f>
        <v>380.2</v>
      </c>
      <c r="K48" s="303">
        <f>SUM(H48:J48)</f>
        <v>691.2</v>
      </c>
      <c r="L48" s="303">
        <v>1060</v>
      </c>
      <c r="M48" s="305">
        <f>95.9+67.1</f>
        <v>163</v>
      </c>
      <c r="N48" s="302">
        <f>G48-K48-L48-M48</f>
        <v>2351.0999999999995</v>
      </c>
      <c r="O48" s="302">
        <f t="shared" si="10"/>
        <v>980.1</v>
      </c>
      <c r="P48" s="323">
        <f>L48+M48+N48</f>
        <v>3574.0999999999995</v>
      </c>
      <c r="Q48" s="323">
        <f>+P48-B48+I48</f>
        <v>3494.1999999999994</v>
      </c>
      <c r="R48" s="323">
        <f>+E48-B48-K48+I48</f>
        <v>1122.9999999999998</v>
      </c>
      <c r="S48" s="324">
        <f>AVERAGE(G47:G48)</f>
        <v>4158.9614999999994</v>
      </c>
      <c r="T48" s="324">
        <f>AVERAGE(N47:N48)</f>
        <v>2300.0379999999996</v>
      </c>
      <c r="U48" s="324">
        <f t="shared" si="13"/>
        <v>1091.0029999999997</v>
      </c>
      <c r="V48" s="325">
        <f t="shared" si="14"/>
        <v>3444.3615</v>
      </c>
    </row>
    <row r="49" spans="1:22" s="3" customFormat="1" ht="6" customHeight="1" thickTop="1" x14ac:dyDescent="0.2">
      <c r="A49" s="240"/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249"/>
      <c r="T49" s="249"/>
      <c r="U49" s="249"/>
      <c r="V49" s="249"/>
    </row>
    <row r="50" spans="1:22" s="3" customFormat="1" ht="18.75" x14ac:dyDescent="0.3">
      <c r="A50" s="326" t="s">
        <v>154</v>
      </c>
      <c r="B50" s="327"/>
      <c r="C50" s="327"/>
      <c r="D50" s="327"/>
      <c r="E50" s="327"/>
      <c r="F50" s="327"/>
      <c r="G50" s="327"/>
      <c r="H50" s="327"/>
      <c r="I50" s="327"/>
      <c r="J50" s="327"/>
      <c r="K50" s="327"/>
      <c r="L50" s="327"/>
      <c r="M50" s="327"/>
      <c r="N50" s="327"/>
      <c r="O50" s="327"/>
      <c r="P50" s="327"/>
      <c r="Q50" s="327"/>
      <c r="R50" s="327"/>
      <c r="S50" s="327"/>
      <c r="T50" s="327"/>
      <c r="U50" s="327"/>
      <c r="V50" s="353"/>
    </row>
    <row r="51" spans="1:22" s="4" customFormat="1" ht="14.25" x14ac:dyDescent="0.2">
      <c r="A51" s="17" t="s">
        <v>201</v>
      </c>
      <c r="B51" s="374">
        <v>64.900000000000006</v>
      </c>
      <c r="C51" s="110">
        <f>847.6-152.7</f>
        <v>694.90000000000009</v>
      </c>
      <c r="D51" s="110">
        <f>767.1-165</f>
        <v>602.1</v>
      </c>
      <c r="E51" s="110">
        <f>B51+C51+D51+82.9-15.4</f>
        <v>1429.4</v>
      </c>
      <c r="F51" s="110">
        <f>971.1-231.5</f>
        <v>739.6</v>
      </c>
      <c r="G51" s="377">
        <f>E51+F51+1338.8-138-21.5-9.3</f>
        <v>3339</v>
      </c>
      <c r="H51" s="374">
        <f>254.2-50.5</f>
        <v>203.7</v>
      </c>
      <c r="I51" s="110">
        <f>98.6-0.035</f>
        <v>98.564999999999998</v>
      </c>
      <c r="J51" s="110">
        <f>279.3+113.7-22.3-1</f>
        <v>369.7</v>
      </c>
      <c r="K51" s="110">
        <f t="shared" ref="K51:K56" si="15">SUM(H51:J51)</f>
        <v>671.96499999999992</v>
      </c>
      <c r="L51" s="110">
        <f>921.6-0.4</f>
        <v>921.2</v>
      </c>
      <c r="M51" s="377">
        <f>84.6+71.4-0.8</f>
        <v>155.19999999999999</v>
      </c>
      <c r="N51" s="374">
        <f t="shared" ref="N51:N56" si="16">G51-K51-L51-M51</f>
        <v>1590.6349999999998</v>
      </c>
      <c r="O51" s="374">
        <f t="shared" ref="O51:O56" si="17">+L51+I51-B51</f>
        <v>954.86500000000012</v>
      </c>
      <c r="P51" s="375">
        <f t="shared" ref="P51:P56" si="18">L51+M51+N51</f>
        <v>2667.0349999999999</v>
      </c>
      <c r="Q51" s="375">
        <f t="shared" ref="Q51:Q56" si="19">+P51-B51+I51</f>
        <v>2700.7</v>
      </c>
      <c r="R51" s="375">
        <f t="shared" ref="R51:R56" si="20">(E51-B51)-(K51-I51)</f>
        <v>791.10000000000014</v>
      </c>
      <c r="S51" s="249" t="s">
        <v>164</v>
      </c>
      <c r="T51" s="249" t="s">
        <v>164</v>
      </c>
      <c r="U51" s="249" t="s">
        <v>164</v>
      </c>
      <c r="V51" s="376" t="s">
        <v>164</v>
      </c>
    </row>
    <row r="52" spans="1:22" s="4" customFormat="1" ht="14.25" x14ac:dyDescent="0.2">
      <c r="A52" s="17" t="s">
        <v>202</v>
      </c>
      <c r="B52" s="374">
        <v>131.9</v>
      </c>
      <c r="C52" s="110">
        <f>853.8-146.4</f>
        <v>707.4</v>
      </c>
      <c r="D52" s="110">
        <f>826.3-179</f>
        <v>647.29999999999995</v>
      </c>
      <c r="E52" s="110">
        <f>B52+C52+D52+82.1-13.8</f>
        <v>1554.8999999999999</v>
      </c>
      <c r="F52" s="110">
        <f>962.8-268.5</f>
        <v>694.3</v>
      </c>
      <c r="G52" s="377">
        <f>E52+F52+1408.4-138-15-4.8</f>
        <v>3499.7999999999997</v>
      </c>
      <c r="H52" s="374">
        <f>259-50.1</f>
        <v>208.9</v>
      </c>
      <c r="I52" s="110">
        <f>52-0.035</f>
        <v>51.965000000000003</v>
      </c>
      <c r="J52" s="110">
        <f>380.2-18.4-4.8</f>
        <v>357</v>
      </c>
      <c r="K52" s="110">
        <f t="shared" si="15"/>
        <v>617.86500000000001</v>
      </c>
      <c r="L52" s="110">
        <f>1060-0.4</f>
        <v>1059.5999999999999</v>
      </c>
      <c r="M52" s="377">
        <f>163-0.6</f>
        <v>162.4</v>
      </c>
      <c r="N52" s="374">
        <f t="shared" si="16"/>
        <v>1659.9349999999995</v>
      </c>
      <c r="O52" s="374">
        <f t="shared" si="17"/>
        <v>979.66499999999985</v>
      </c>
      <c r="P52" s="375">
        <f t="shared" si="18"/>
        <v>2881.9349999999995</v>
      </c>
      <c r="Q52" s="375">
        <f t="shared" si="19"/>
        <v>2801.9999999999995</v>
      </c>
      <c r="R52" s="375">
        <f t="shared" si="20"/>
        <v>857.0999999999998</v>
      </c>
      <c r="S52" s="249">
        <f t="shared" ref="S52:S57" si="21">(G52+G51)/2</f>
        <v>3419.3999999999996</v>
      </c>
      <c r="T52" s="249">
        <f t="shared" ref="T52:T57" si="22">(N52+N51)/2</f>
        <v>1625.2849999999996</v>
      </c>
      <c r="U52" s="249">
        <f t="shared" ref="U52:U57" si="23">(R52+R51)/2</f>
        <v>824.09999999999991</v>
      </c>
      <c r="V52" s="376">
        <f t="shared" ref="V52:V57" si="24">(P52+P51)/2</f>
        <v>2774.4849999999997</v>
      </c>
    </row>
    <row r="53" spans="1:22" s="4" customFormat="1" ht="14.25" x14ac:dyDescent="0.2">
      <c r="A53" s="17" t="s">
        <v>203</v>
      </c>
      <c r="B53" s="374">
        <v>205.4</v>
      </c>
      <c r="C53" s="110">
        <f>640.2-9.8</f>
        <v>630.40000000000009</v>
      </c>
      <c r="D53" s="110">
        <f>599.2-8.2</f>
        <v>591</v>
      </c>
      <c r="E53" s="110">
        <f>B53+C53+D53+104.6-0.017</f>
        <v>1531.383</v>
      </c>
      <c r="F53" s="110">
        <f>726.9-(-0.2)</f>
        <v>727.1</v>
      </c>
      <c r="G53" s="377">
        <f>E53+F53+1241.7-4.3</f>
        <v>3495.8829999999998</v>
      </c>
      <c r="H53" s="374">
        <f>227.6-2.6</f>
        <v>225</v>
      </c>
      <c r="I53" s="110">
        <f>88.7-0</f>
        <v>88.7</v>
      </c>
      <c r="J53" s="110">
        <f>274.6+136.3-2.5</f>
        <v>408.40000000000003</v>
      </c>
      <c r="K53" s="110">
        <f t="shared" si="15"/>
        <v>722.1</v>
      </c>
      <c r="L53" s="110">
        <f>1000.6-0</f>
        <v>1000.6</v>
      </c>
      <c r="M53" s="377">
        <f>96.3+42.3-0</f>
        <v>138.6</v>
      </c>
      <c r="N53" s="374">
        <f t="shared" si="16"/>
        <v>1634.5830000000001</v>
      </c>
      <c r="O53" s="374">
        <f t="shared" si="17"/>
        <v>883.9</v>
      </c>
      <c r="P53" s="375">
        <f t="shared" si="18"/>
        <v>2773.7830000000004</v>
      </c>
      <c r="Q53" s="375">
        <f t="shared" si="19"/>
        <v>2657.0830000000001</v>
      </c>
      <c r="R53" s="375">
        <f t="shared" si="20"/>
        <v>692.58299999999997</v>
      </c>
      <c r="S53" s="249">
        <f t="shared" si="21"/>
        <v>3497.8414999999995</v>
      </c>
      <c r="T53" s="249">
        <f t="shared" si="22"/>
        <v>1647.2589999999998</v>
      </c>
      <c r="U53" s="249">
        <f t="shared" si="23"/>
        <v>774.84149999999988</v>
      </c>
      <c r="V53" s="376">
        <f t="shared" si="24"/>
        <v>2827.8589999999999</v>
      </c>
    </row>
    <row r="54" spans="1:22" s="4" customFormat="1" ht="14.25" x14ac:dyDescent="0.2">
      <c r="A54" s="17" t="s">
        <v>218</v>
      </c>
      <c r="B54" s="374">
        <v>164.7</v>
      </c>
      <c r="C54" s="110">
        <v>550.5</v>
      </c>
      <c r="D54" s="110">
        <v>495</v>
      </c>
      <c r="E54" s="110">
        <f>B54+C54+D54+65.6</f>
        <v>1275.8</v>
      </c>
      <c r="F54" s="110">
        <v>681.4</v>
      </c>
      <c r="G54" s="377">
        <f>E54+F54+1143.5</f>
        <v>3100.7</v>
      </c>
      <c r="H54" s="374">
        <v>175.3</v>
      </c>
      <c r="I54" s="110">
        <v>22.4</v>
      </c>
      <c r="J54" s="110">
        <f>234.9+84.2</f>
        <v>319.10000000000002</v>
      </c>
      <c r="K54" s="110">
        <f t="shared" si="15"/>
        <v>516.80000000000007</v>
      </c>
      <c r="L54" s="110">
        <v>851.2</v>
      </c>
      <c r="M54" s="377">
        <v>133.5</v>
      </c>
      <c r="N54" s="374">
        <f t="shared" si="16"/>
        <v>1599.1999999999996</v>
      </c>
      <c r="O54" s="374">
        <f t="shared" si="17"/>
        <v>708.90000000000009</v>
      </c>
      <c r="P54" s="375">
        <f t="shared" si="18"/>
        <v>2583.8999999999996</v>
      </c>
      <c r="Q54" s="375">
        <f t="shared" si="19"/>
        <v>2441.6</v>
      </c>
      <c r="R54" s="375">
        <f t="shared" si="20"/>
        <v>616.69999999999982</v>
      </c>
      <c r="S54" s="249">
        <f t="shared" si="21"/>
        <v>3298.2914999999998</v>
      </c>
      <c r="T54" s="249">
        <f t="shared" si="22"/>
        <v>1616.8914999999997</v>
      </c>
      <c r="U54" s="249">
        <f t="shared" si="23"/>
        <v>654.64149999999995</v>
      </c>
      <c r="V54" s="376">
        <f t="shared" si="24"/>
        <v>2678.8415</v>
      </c>
    </row>
    <row r="55" spans="1:22" s="4" customFormat="1" ht="14.25" x14ac:dyDescent="0.2">
      <c r="A55" s="17" t="s">
        <v>222</v>
      </c>
      <c r="B55" s="374">
        <v>260.5</v>
      </c>
      <c r="C55" s="110">
        <v>469.5</v>
      </c>
      <c r="D55" s="110">
        <v>409.1</v>
      </c>
      <c r="E55" s="110">
        <f>B55+C55+D55+58.1</f>
        <v>1197.1999999999998</v>
      </c>
      <c r="F55" s="110">
        <v>668.6</v>
      </c>
      <c r="G55" s="377">
        <f>E55+F55+1151.8</f>
        <v>3017.5999999999995</v>
      </c>
      <c r="H55" s="374">
        <v>199.4</v>
      </c>
      <c r="I55" s="110">
        <v>10.1</v>
      </c>
      <c r="J55" s="110">
        <v>322.39999999999998</v>
      </c>
      <c r="K55" s="110">
        <f t="shared" si="15"/>
        <v>531.9</v>
      </c>
      <c r="L55" s="110">
        <v>789.3</v>
      </c>
      <c r="M55" s="377">
        <v>161.30000000000001</v>
      </c>
      <c r="N55" s="374">
        <f t="shared" si="16"/>
        <v>1535.0999999999995</v>
      </c>
      <c r="O55" s="374">
        <f t="shared" si="17"/>
        <v>538.9</v>
      </c>
      <c r="P55" s="375">
        <f t="shared" si="18"/>
        <v>2485.6999999999994</v>
      </c>
      <c r="Q55" s="375">
        <f t="shared" si="19"/>
        <v>2235.2999999999993</v>
      </c>
      <c r="R55" s="375">
        <f t="shared" si="20"/>
        <v>414.89999999999986</v>
      </c>
      <c r="S55" s="249">
        <f t="shared" si="21"/>
        <v>3059.1499999999996</v>
      </c>
      <c r="T55" s="249">
        <f t="shared" si="22"/>
        <v>1567.1499999999996</v>
      </c>
      <c r="U55" s="249">
        <f t="shared" si="23"/>
        <v>515.79999999999984</v>
      </c>
      <c r="V55" s="376">
        <f t="shared" si="24"/>
        <v>2534.7999999999993</v>
      </c>
    </row>
    <row r="56" spans="1:22" s="4" customFormat="1" x14ac:dyDescent="0.2">
      <c r="A56" s="406">
        <v>2010</v>
      </c>
      <c r="B56" s="120">
        <v>244.5</v>
      </c>
      <c r="C56" s="120">
        <v>478.9</v>
      </c>
      <c r="D56" s="120">
        <v>435.3</v>
      </c>
      <c r="E56" s="120">
        <f>B56+C56+D56+60.4</f>
        <v>1219.1000000000001</v>
      </c>
      <c r="F56" s="120">
        <v>624.20000000000005</v>
      </c>
      <c r="G56" s="386">
        <f>E56+F56+1157.7</f>
        <v>3001</v>
      </c>
      <c r="H56" s="380">
        <v>226.4</v>
      </c>
      <c r="I56" s="120">
        <v>2.2000000000000002</v>
      </c>
      <c r="J56" s="120">
        <f>209.5+84.9</f>
        <v>294.39999999999998</v>
      </c>
      <c r="K56" s="120">
        <f t="shared" si="15"/>
        <v>523</v>
      </c>
      <c r="L56" s="120">
        <v>762.2</v>
      </c>
      <c r="M56" s="386">
        <f>121.9+69.5</f>
        <v>191.4</v>
      </c>
      <c r="N56" s="380">
        <f t="shared" si="16"/>
        <v>1524.3999999999999</v>
      </c>
      <c r="O56" s="380">
        <f t="shared" si="17"/>
        <v>519.90000000000009</v>
      </c>
      <c r="P56" s="395">
        <f t="shared" si="18"/>
        <v>2478</v>
      </c>
      <c r="Q56" s="395">
        <f t="shared" si="19"/>
        <v>2235.6999999999998</v>
      </c>
      <c r="R56" s="395">
        <f t="shared" si="20"/>
        <v>453.80000000000018</v>
      </c>
      <c r="S56" s="396">
        <f t="shared" si="21"/>
        <v>3009.2999999999997</v>
      </c>
      <c r="T56" s="396">
        <f t="shared" si="22"/>
        <v>1529.7499999999995</v>
      </c>
      <c r="U56" s="396">
        <f t="shared" si="23"/>
        <v>434.35</v>
      </c>
      <c r="V56" s="397">
        <f t="shared" si="24"/>
        <v>2481.8499999999995</v>
      </c>
    </row>
    <row r="57" spans="1:22" s="4" customFormat="1" x14ac:dyDescent="0.2">
      <c r="A57" s="407">
        <v>2011</v>
      </c>
      <c r="B57" s="110">
        <v>236.3</v>
      </c>
      <c r="C57" s="110">
        <v>503.6</v>
      </c>
      <c r="D57" s="110">
        <v>441</v>
      </c>
      <c r="E57" s="110">
        <f>B57+C57+D57+43.1</f>
        <v>1224</v>
      </c>
      <c r="F57" s="110">
        <v>580.6</v>
      </c>
      <c r="G57" s="388">
        <f>E57+F57+1110.5</f>
        <v>2915.1</v>
      </c>
      <c r="H57" s="110">
        <v>256.60000000000002</v>
      </c>
      <c r="I57" s="110">
        <v>2.5</v>
      </c>
      <c r="J57" s="110">
        <v>326.89999999999998</v>
      </c>
      <c r="K57" s="110">
        <f t="shared" ref="K57" si="25">SUM(H57:J57)</f>
        <v>586</v>
      </c>
      <c r="L57" s="110">
        <v>833.3</v>
      </c>
      <c r="M57" s="388">
        <v>188.1</v>
      </c>
      <c r="N57" s="398">
        <f t="shared" ref="N57" si="26">G57-K57-L57-M57</f>
        <v>1307.7</v>
      </c>
      <c r="O57" s="398">
        <f t="shared" ref="O57" si="27">+L57+I57-B57</f>
        <v>599.5</v>
      </c>
      <c r="P57" s="398">
        <f t="shared" ref="P57" si="28">L57+M57+N57</f>
        <v>2329.1</v>
      </c>
      <c r="Q57" s="398">
        <f t="shared" ref="Q57" si="29">+P57-B57+I57</f>
        <v>2095.2999999999997</v>
      </c>
      <c r="R57" s="398">
        <f t="shared" ref="R57" si="30">(E57-B57)-(K57-I57)</f>
        <v>404.20000000000005</v>
      </c>
      <c r="S57" s="249">
        <f t="shared" si="21"/>
        <v>2958.05</v>
      </c>
      <c r="T57" s="249">
        <f t="shared" si="22"/>
        <v>1416.05</v>
      </c>
      <c r="U57" s="249">
        <f t="shared" si="23"/>
        <v>429.00000000000011</v>
      </c>
      <c r="V57" s="399">
        <f t="shared" si="24"/>
        <v>2403.5500000000002</v>
      </c>
    </row>
    <row r="58" spans="1:22" s="4" customFormat="1" x14ac:dyDescent="0.2">
      <c r="A58" s="407">
        <v>2012</v>
      </c>
      <c r="B58" s="110">
        <v>359.1</v>
      </c>
      <c r="C58" s="110">
        <v>446.2</v>
      </c>
      <c r="D58" s="110">
        <v>489</v>
      </c>
      <c r="E58" s="110">
        <f>B58+C58+D58+44.8</f>
        <v>1339.1</v>
      </c>
      <c r="F58" s="110">
        <v>572.79999999999995</v>
      </c>
      <c r="G58" s="377">
        <f>E58+F58+21.8+1321.2</f>
        <v>3254.8999999999996</v>
      </c>
      <c r="H58" s="110">
        <v>285.39999999999998</v>
      </c>
      <c r="I58" s="110">
        <v>201.5</v>
      </c>
      <c r="J58" s="110">
        <v>244.1</v>
      </c>
      <c r="K58" s="110">
        <f t="shared" ref="K58:K60" si="31">SUM(H58:J58)</f>
        <v>731</v>
      </c>
      <c r="L58" s="110">
        <v>853.9</v>
      </c>
      <c r="M58" s="377">
        <v>227.8</v>
      </c>
      <c r="N58" s="375">
        <f t="shared" ref="N58:N60" si="32">G58-K58-L58-M58</f>
        <v>1442.1999999999996</v>
      </c>
      <c r="O58" s="375">
        <f t="shared" ref="O58:O60" si="33">+L58+I58-B58</f>
        <v>696.30000000000007</v>
      </c>
      <c r="P58" s="375">
        <f t="shared" ref="P58:P60" si="34">L58+M58+N58</f>
        <v>2523.8999999999996</v>
      </c>
      <c r="Q58" s="375">
        <f t="shared" ref="Q58:Q60" si="35">+P58-B58+I58</f>
        <v>2366.2999999999997</v>
      </c>
      <c r="R58" s="375">
        <f t="shared" ref="R58:R60" si="36">(E58-B58)-(K58-I58)</f>
        <v>450.49999999999989</v>
      </c>
      <c r="S58" s="249">
        <f t="shared" ref="S58" si="37">(G58+G57)/2</f>
        <v>3085</v>
      </c>
      <c r="T58" s="249">
        <f t="shared" ref="T58" si="38">(N58+N57)/2</f>
        <v>1374.9499999999998</v>
      </c>
      <c r="U58" s="249">
        <f t="shared" ref="U58" si="39">(R58+R57)/2</f>
        <v>427.34999999999997</v>
      </c>
      <c r="V58" s="376">
        <f t="shared" ref="V58" si="40">(P58+P57)/2</f>
        <v>2426.5</v>
      </c>
    </row>
    <row r="59" spans="1:22" s="4" customFormat="1" x14ac:dyDescent="0.2">
      <c r="A59" s="407">
        <v>2013</v>
      </c>
      <c r="B59" s="110">
        <v>272.7</v>
      </c>
      <c r="C59" s="110">
        <v>467.4</v>
      </c>
      <c r="D59" s="110">
        <v>495.9</v>
      </c>
      <c r="E59" s="110">
        <f>B59+C59+D59+45.7</f>
        <v>1281.7</v>
      </c>
      <c r="F59" s="110">
        <v>574.6</v>
      </c>
      <c r="G59" s="377">
        <f>E59+F59+19.1+1232.7</f>
        <v>3108.1000000000004</v>
      </c>
      <c r="H59" s="110">
        <v>339.3</v>
      </c>
      <c r="I59" s="110">
        <v>181.1</v>
      </c>
      <c r="J59" s="110">
        <v>309.10000000000002</v>
      </c>
      <c r="K59" s="110">
        <f t="shared" si="31"/>
        <v>829.5</v>
      </c>
      <c r="L59" s="110">
        <v>688.4</v>
      </c>
      <c r="M59" s="377">
        <v>191</v>
      </c>
      <c r="N59" s="375">
        <f t="shared" si="32"/>
        <v>1399.2000000000003</v>
      </c>
      <c r="O59" s="375">
        <f t="shared" si="33"/>
        <v>596.79999999999995</v>
      </c>
      <c r="P59" s="375">
        <f t="shared" si="34"/>
        <v>2278.6000000000004</v>
      </c>
      <c r="Q59" s="375">
        <f t="shared" si="35"/>
        <v>2187.0000000000005</v>
      </c>
      <c r="R59" s="375">
        <f t="shared" si="36"/>
        <v>360.6</v>
      </c>
      <c r="S59" s="249">
        <f t="shared" ref="S59" si="41">(G59+G58)/2</f>
        <v>3181.5</v>
      </c>
      <c r="T59" s="249">
        <f t="shared" ref="T59" si="42">(N59+N58)/2</f>
        <v>1420.6999999999998</v>
      </c>
      <c r="U59" s="249">
        <f t="shared" ref="U59" si="43">(R59+R58)/2</f>
        <v>405.54999999999995</v>
      </c>
      <c r="V59" s="376">
        <f t="shared" ref="V59" si="44">(P59+P58)/2</f>
        <v>2401.25</v>
      </c>
    </row>
    <row r="60" spans="1:22" s="4" customFormat="1" x14ac:dyDescent="0.2">
      <c r="A60" s="407">
        <v>2014</v>
      </c>
      <c r="B60" s="110">
        <v>332.8</v>
      </c>
      <c r="C60" s="110">
        <v>523.29999999999995</v>
      </c>
      <c r="D60" s="110">
        <v>481.6</v>
      </c>
      <c r="E60" s="110">
        <f>B60+C60+D60+10.4+81.5</f>
        <v>1429.6</v>
      </c>
      <c r="F60" s="110">
        <v>558.9</v>
      </c>
      <c r="G60" s="377">
        <f>E60+F60+1129.7+22.4</f>
        <v>3140.6</v>
      </c>
      <c r="H60" s="110">
        <v>369.8</v>
      </c>
      <c r="I60" s="110">
        <v>201.7</v>
      </c>
      <c r="J60" s="110">
        <f>5.4+415.3</f>
        <v>420.7</v>
      </c>
      <c r="K60" s="110">
        <f t="shared" si="31"/>
        <v>992.2</v>
      </c>
      <c r="L60" s="110">
        <v>766.7</v>
      </c>
      <c r="M60" s="377">
        <v>226.8</v>
      </c>
      <c r="N60" s="375">
        <f t="shared" si="32"/>
        <v>1154.8999999999996</v>
      </c>
      <c r="O60" s="375">
        <f t="shared" si="33"/>
        <v>635.60000000000014</v>
      </c>
      <c r="P60" s="375">
        <f t="shared" si="34"/>
        <v>2148.3999999999996</v>
      </c>
      <c r="Q60" s="375">
        <f t="shared" si="35"/>
        <v>2017.2999999999997</v>
      </c>
      <c r="R60" s="375">
        <f t="shared" si="36"/>
        <v>306.29999999999995</v>
      </c>
      <c r="S60" s="249">
        <f t="shared" ref="S60" si="45">(G60+G59)/2</f>
        <v>3124.3500000000004</v>
      </c>
      <c r="T60" s="249">
        <f t="shared" ref="T60" si="46">(N60+N59)/2</f>
        <v>1277.05</v>
      </c>
      <c r="U60" s="249">
        <f t="shared" ref="U60" si="47">(R60+R59)/2</f>
        <v>333.45</v>
      </c>
      <c r="V60" s="376">
        <f t="shared" ref="V60" si="48">(P60+P59)/2</f>
        <v>2213.5</v>
      </c>
    </row>
    <row r="61" spans="1:22" s="4" customFormat="1" x14ac:dyDescent="0.2">
      <c r="A61" s="406">
        <v>2015</v>
      </c>
      <c r="B61" s="120">
        <v>253.2</v>
      </c>
      <c r="C61" s="120">
        <v>520.20000000000005</v>
      </c>
      <c r="D61" s="120">
        <v>504.6</v>
      </c>
      <c r="E61" s="120">
        <f>B61+C61+D61+33.2</f>
        <v>1311.2</v>
      </c>
      <c r="F61" s="120">
        <v>540.79999999999995</v>
      </c>
      <c r="G61" s="386">
        <f>E61+F61+1107.2+8.4</f>
        <v>2967.6</v>
      </c>
      <c r="H61" s="120">
        <v>307.2</v>
      </c>
      <c r="I61" s="120">
        <v>3.4</v>
      </c>
      <c r="J61" s="120">
        <v>390.6</v>
      </c>
      <c r="K61" s="120">
        <f t="shared" ref="K61:K62" si="49">SUM(H61:J61)</f>
        <v>701.2</v>
      </c>
      <c r="L61" s="120">
        <v>945.4</v>
      </c>
      <c r="M61" s="386">
        <v>223.3</v>
      </c>
      <c r="N61" s="395">
        <f t="shared" ref="N61:N62" si="50">G61-K61-L61-M61</f>
        <v>1097.6999999999996</v>
      </c>
      <c r="O61" s="395">
        <f t="shared" ref="O61:O62" si="51">+L61+I61-B61</f>
        <v>695.59999999999991</v>
      </c>
      <c r="P61" s="395">
        <f t="shared" ref="P61:P62" si="52">L61+M61+N61</f>
        <v>2266.3999999999996</v>
      </c>
      <c r="Q61" s="395">
        <f t="shared" ref="Q61:Q62" si="53">+P61-B61+I61</f>
        <v>2016.5999999999997</v>
      </c>
      <c r="R61" s="395">
        <f t="shared" ref="R61:R62" si="54">(E61-B61)-(K61-I61)</f>
        <v>360.19999999999993</v>
      </c>
      <c r="S61" s="396">
        <f t="shared" ref="S61:S62" si="55">(G61+G60)/2</f>
        <v>3054.1</v>
      </c>
      <c r="T61" s="396">
        <f t="shared" ref="T61:T62" si="56">(N61+N60)/2</f>
        <v>1126.2999999999997</v>
      </c>
      <c r="U61" s="396">
        <f t="shared" ref="U61:U62" si="57">(R61+R60)/2</f>
        <v>333.24999999999994</v>
      </c>
      <c r="V61" s="397">
        <f t="shared" ref="V61:V62" si="58">(P61+P60)/2</f>
        <v>2207.3999999999996</v>
      </c>
    </row>
    <row r="62" spans="1:22" s="4" customFormat="1" x14ac:dyDescent="0.2">
      <c r="A62" s="407">
        <v>2016</v>
      </c>
      <c r="B62" s="110">
        <v>281.89999999999998</v>
      </c>
      <c r="C62" s="110">
        <v>486.6</v>
      </c>
      <c r="D62" s="110">
        <v>519.6</v>
      </c>
      <c r="E62" s="110">
        <f>B62+C62+D62+36.8</f>
        <v>1324.8999999999999</v>
      </c>
      <c r="F62" s="110">
        <v>565.5</v>
      </c>
      <c r="G62" s="377">
        <f>E62+F62+1082.7+11</f>
        <v>2984.1</v>
      </c>
      <c r="H62" s="110">
        <v>351.1</v>
      </c>
      <c r="I62" s="110">
        <v>3.6</v>
      </c>
      <c r="J62" s="110">
        <v>351.9</v>
      </c>
      <c r="K62" s="110">
        <f t="shared" si="49"/>
        <v>706.6</v>
      </c>
      <c r="L62" s="110">
        <v>956.2</v>
      </c>
      <c r="M62" s="377">
        <v>227.3</v>
      </c>
      <c r="N62" s="375">
        <f t="shared" si="50"/>
        <v>1094</v>
      </c>
      <c r="O62" s="375">
        <f t="shared" si="51"/>
        <v>677.90000000000009</v>
      </c>
      <c r="P62" s="375">
        <f t="shared" si="52"/>
        <v>2277.5</v>
      </c>
      <c r="Q62" s="375">
        <f t="shared" si="53"/>
        <v>1999.1999999999998</v>
      </c>
      <c r="R62" s="375">
        <f t="shared" si="54"/>
        <v>340</v>
      </c>
      <c r="S62" s="249">
        <f t="shared" si="55"/>
        <v>2975.85</v>
      </c>
      <c r="T62" s="249">
        <f t="shared" si="56"/>
        <v>1095.8499999999999</v>
      </c>
      <c r="U62" s="249">
        <f t="shared" si="57"/>
        <v>350.09999999999997</v>
      </c>
      <c r="V62" s="376">
        <f t="shared" si="58"/>
        <v>2271.9499999999998</v>
      </c>
    </row>
    <row r="63" spans="1:22" s="4" customFormat="1" x14ac:dyDescent="0.2">
      <c r="A63" s="406">
        <v>2017</v>
      </c>
      <c r="B63" s="120">
        <v>526.1</v>
      </c>
      <c r="C63" s="120">
        <v>595.1</v>
      </c>
      <c r="D63" s="120">
        <v>571.1</v>
      </c>
      <c r="E63" s="120">
        <f>B63+C63+D63+74.2</f>
        <v>1766.5000000000002</v>
      </c>
      <c r="F63" s="120">
        <v>663.9</v>
      </c>
      <c r="G63" s="386">
        <f>E63+F63+1117.8+2.6</f>
        <v>3550.7999999999997</v>
      </c>
      <c r="H63" s="120">
        <v>430.3</v>
      </c>
      <c r="I63" s="120">
        <v>153.80000000000001</v>
      </c>
      <c r="J63" s="120">
        <v>392.1</v>
      </c>
      <c r="K63" s="120">
        <f t="shared" ref="K63" si="59">SUM(H63:J63)</f>
        <v>976.2</v>
      </c>
      <c r="L63" s="120">
        <v>1097.9000000000001</v>
      </c>
      <c r="M63" s="386">
        <f>83+61.9+141</f>
        <v>285.89999999999998</v>
      </c>
      <c r="N63" s="395">
        <f t="shared" ref="N63" si="60">G63-K63-L63-M63</f>
        <v>1190.7999999999993</v>
      </c>
      <c r="O63" s="395">
        <f t="shared" ref="O63" si="61">+L63+I63-B63</f>
        <v>725.6</v>
      </c>
      <c r="P63" s="395">
        <f t="shared" ref="P63" si="62">L63+M63+N63</f>
        <v>2574.5999999999995</v>
      </c>
      <c r="Q63" s="395">
        <f t="shared" ref="Q63" si="63">+P63-B63+I63</f>
        <v>2202.2999999999997</v>
      </c>
      <c r="R63" s="395">
        <f>(E63-B63)-(K63-I63)</f>
        <v>418</v>
      </c>
      <c r="S63" s="396">
        <f>(G63+G62)/2</f>
        <v>3267.45</v>
      </c>
      <c r="T63" s="396">
        <f t="shared" ref="T63" si="64">(N63+N62)/2</f>
        <v>1142.3999999999996</v>
      </c>
      <c r="U63" s="396">
        <f t="shared" ref="U63" si="65">(R63+R62)/2</f>
        <v>379</v>
      </c>
      <c r="V63" s="397">
        <f t="shared" ref="V63" si="66">(P63+P62)/2</f>
        <v>2426.0499999999997</v>
      </c>
    </row>
    <row r="64" spans="1:22" s="4" customFormat="1" ht="6" customHeight="1" x14ac:dyDescent="0.2">
      <c r="A64" s="18"/>
      <c r="B64"/>
      <c r="C64" s="19"/>
      <c r="D64" s="19"/>
      <c r="E64" s="19"/>
      <c r="F64" s="19"/>
      <c r="G64" s="19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</row>
    <row r="65" spans="1:22" ht="18.75" x14ac:dyDescent="0.25">
      <c r="A65" s="427" t="s">
        <v>229</v>
      </c>
      <c r="M65" s="246"/>
      <c r="N65" s="343"/>
      <c r="O65" s="246"/>
    </row>
    <row r="66" spans="1:22" ht="14.25" x14ac:dyDescent="0.2">
      <c r="A66" s="20" t="s">
        <v>244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341"/>
      <c r="N66" s="342"/>
      <c r="O66" s="341"/>
    </row>
    <row r="67" spans="1:22" ht="14.25" x14ac:dyDescent="0.2">
      <c r="A67" s="20" t="s">
        <v>148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22" ht="14.25" x14ac:dyDescent="0.2">
      <c r="A68" s="20" t="s">
        <v>191</v>
      </c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2"/>
      <c r="O68" s="22"/>
    </row>
    <row r="69" spans="1:22" ht="14.25" x14ac:dyDescent="0.2">
      <c r="A69" s="20" t="s">
        <v>245</v>
      </c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2"/>
      <c r="O69" s="22"/>
    </row>
    <row r="70" spans="1:22" ht="14.25" x14ac:dyDescent="0.2">
      <c r="A70" s="20" t="s">
        <v>209</v>
      </c>
      <c r="B70" s="21"/>
      <c r="C70" s="21"/>
      <c r="D70" s="21"/>
      <c r="E70" s="21"/>
      <c r="F70" s="21"/>
      <c r="G70" s="21"/>
      <c r="H70" s="21"/>
      <c r="I70" s="21"/>
      <c r="J70" s="250"/>
      <c r="K70" s="21"/>
      <c r="L70" s="21"/>
      <c r="M70" s="21"/>
      <c r="N70" s="22"/>
      <c r="O70" s="22"/>
    </row>
    <row r="71" spans="1:22" ht="14.25" x14ac:dyDescent="0.2">
      <c r="A71" s="20" t="s">
        <v>204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V71" s="49"/>
    </row>
    <row r="72" spans="1:22" ht="14.25" x14ac:dyDescent="0.2">
      <c r="A72" s="20" t="s">
        <v>210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V72" s="49"/>
    </row>
    <row r="73" spans="1:22" ht="14.25" x14ac:dyDescent="0.2">
      <c r="A73" s="20" t="s">
        <v>211</v>
      </c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2"/>
      <c r="O73" s="22"/>
    </row>
    <row r="74" spans="1:22" ht="14.25" x14ac:dyDescent="0.2">
      <c r="A74" s="20" t="s">
        <v>217</v>
      </c>
    </row>
    <row r="75" spans="1:22" ht="14.25" x14ac:dyDescent="0.2">
      <c r="A75" s="20" t="s">
        <v>221</v>
      </c>
    </row>
    <row r="76" spans="1:22" x14ac:dyDescent="0.2">
      <c r="A76" s="7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2"/>
      <c r="O76" s="22"/>
    </row>
    <row r="77" spans="1:22" x14ac:dyDescent="0.2">
      <c r="A77" s="23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2"/>
      <c r="O77" s="22"/>
    </row>
    <row r="78" spans="1:22" x14ac:dyDescent="0.2">
      <c r="A78" s="7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2"/>
      <c r="O78" s="22"/>
    </row>
    <row r="79" spans="1:22" x14ac:dyDescent="0.2">
      <c r="A79" s="7"/>
      <c r="B79" s="24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2"/>
      <c r="O79" s="22"/>
    </row>
    <row r="80" spans="1:22" x14ac:dyDescent="0.2">
      <c r="A80" s="25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2"/>
      <c r="O80" s="22"/>
    </row>
    <row r="81" spans="1:15" x14ac:dyDescent="0.2">
      <c r="A81" s="7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2"/>
      <c r="O81" s="22"/>
    </row>
    <row r="82" spans="1:15" x14ac:dyDescent="0.2">
      <c r="A82" s="7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6"/>
      <c r="O82" s="26"/>
    </row>
    <row r="83" spans="1:15" x14ac:dyDescent="0.2">
      <c r="A83" s="7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2"/>
      <c r="O83" s="22"/>
    </row>
    <row r="84" spans="1:15" x14ac:dyDescent="0.2">
      <c r="A84" s="7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2"/>
      <c r="O84" s="22"/>
    </row>
    <row r="85" spans="1:15" x14ac:dyDescent="0.2">
      <c r="A85" s="7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2"/>
      <c r="O85" s="22"/>
    </row>
    <row r="86" spans="1:15" x14ac:dyDescent="0.2">
      <c r="A86" s="7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2"/>
      <c r="O86" s="22"/>
    </row>
  </sheetData>
  <mergeCells count="26">
    <mergeCell ref="S4:V4"/>
    <mergeCell ref="S5:S7"/>
    <mergeCell ref="T5:T7"/>
    <mergeCell ref="V5:V7"/>
    <mergeCell ref="U5:U7"/>
    <mergeCell ref="A4:A7"/>
    <mergeCell ref="B4:G4"/>
    <mergeCell ref="H4:M4"/>
    <mergeCell ref="B5:B7"/>
    <mergeCell ref="C5:C7"/>
    <mergeCell ref="D5:D7"/>
    <mergeCell ref="E5:E7"/>
    <mergeCell ref="F5:F7"/>
    <mergeCell ref="I5:I7"/>
    <mergeCell ref="J5:J7"/>
    <mergeCell ref="B8:C8"/>
    <mergeCell ref="L5:L7"/>
    <mergeCell ref="G5:G7"/>
    <mergeCell ref="H5:H7"/>
    <mergeCell ref="R5:R7"/>
    <mergeCell ref="N5:N7"/>
    <mergeCell ref="P5:P7"/>
    <mergeCell ref="K5:K7"/>
    <mergeCell ref="M5:M7"/>
    <mergeCell ref="Q5:Q7"/>
    <mergeCell ref="O5:O7"/>
  </mergeCells>
  <phoneticPr fontId="0" type="noConversion"/>
  <printOptions horizontalCentered="1" verticalCentered="1"/>
  <pageMargins left="0.3" right="0.3" top="0.25" bottom="0.25" header="0.4" footer="0.4"/>
  <pageSetup scale="5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pageSetUpPr fitToPage="1"/>
  </sheetPr>
  <dimension ref="A1:AC82"/>
  <sheetViews>
    <sheetView zoomScaleNormal="100" workbookViewId="0">
      <pane xSplit="1" ySplit="12" topLeftCell="B53" activePane="bottomRight" state="frozen"/>
      <selection pane="topRight" activeCell="B1" sqref="B1"/>
      <selection pane="bottomLeft" activeCell="A13" sqref="A13"/>
      <selection pane="bottomRight" activeCell="A72" sqref="A72"/>
    </sheetView>
  </sheetViews>
  <sheetFormatPr defaultRowHeight="12.75" x14ac:dyDescent="0.2"/>
  <cols>
    <col min="1" max="1" width="10.140625" customWidth="1"/>
    <col min="2" max="2" width="9.5703125" customWidth="1"/>
    <col min="3" max="3" width="8.85546875" bestFit="1" customWidth="1"/>
    <col min="4" max="4" width="10.42578125" customWidth="1"/>
    <col min="5" max="5" width="8.42578125" bestFit="1" customWidth="1"/>
    <col min="6" max="6" width="10.7109375" bestFit="1" customWidth="1"/>
    <col min="7" max="9" width="9.28515625" bestFit="1" customWidth="1"/>
    <col min="10" max="10" width="8.85546875" bestFit="1" customWidth="1"/>
    <col min="11" max="11" width="8.7109375" bestFit="1" customWidth="1"/>
    <col min="12" max="12" width="6.85546875" customWidth="1"/>
    <col min="13" max="13" width="8.7109375" bestFit="1" customWidth="1"/>
    <col min="14" max="14" width="9" bestFit="1" customWidth="1"/>
    <col min="15" max="15" width="9.28515625" bestFit="1" customWidth="1"/>
    <col min="16" max="17" width="8.7109375" bestFit="1" customWidth="1"/>
    <col min="18" max="18" width="7.140625" customWidth="1"/>
    <col min="19" max="19" width="9.28515625" bestFit="1" customWidth="1"/>
    <col min="20" max="20" width="8.7109375" bestFit="1" customWidth="1"/>
    <col min="21" max="21" width="7.140625" customWidth="1"/>
    <col min="22" max="22" width="8.7109375" style="49" bestFit="1" customWidth="1"/>
    <col min="23" max="23" width="9.28515625" bestFit="1" customWidth="1"/>
    <col min="24" max="24" width="10.42578125" bestFit="1" customWidth="1"/>
    <col min="25" max="25" width="8.85546875" bestFit="1" customWidth="1"/>
    <col min="27" max="27" width="7.5703125" customWidth="1"/>
  </cols>
  <sheetData>
    <row r="1" spans="1:27" ht="30" x14ac:dyDescent="0.4">
      <c r="A1" s="40" t="s">
        <v>249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54"/>
      <c r="W1" s="38"/>
      <c r="X1" s="38"/>
      <c r="Y1" s="38"/>
      <c r="Z1" s="38"/>
      <c r="AA1" s="38"/>
    </row>
    <row r="2" spans="1:27" ht="22.5" x14ac:dyDescent="0.3">
      <c r="A2" s="47" t="s">
        <v>44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54"/>
      <c r="W2" s="38"/>
      <c r="X2" s="38"/>
      <c r="Y2" s="38"/>
      <c r="Z2" s="38"/>
      <c r="AA2" s="38"/>
    </row>
    <row r="4" spans="1:27" ht="18.75" x14ac:dyDescent="0.25">
      <c r="B4" s="16"/>
      <c r="C4" s="16"/>
      <c r="F4" s="529" t="s">
        <v>113</v>
      </c>
      <c r="G4" s="519" t="s">
        <v>243</v>
      </c>
      <c r="H4" s="520"/>
      <c r="I4" s="521"/>
      <c r="J4" s="520"/>
      <c r="K4" s="520"/>
      <c r="L4" s="521"/>
      <c r="M4" s="520"/>
      <c r="N4" s="520"/>
      <c r="O4" s="521"/>
      <c r="P4" s="520"/>
      <c r="Q4" s="520"/>
      <c r="R4" s="521"/>
      <c r="S4" s="521"/>
      <c r="T4" s="521"/>
      <c r="U4" s="521"/>
      <c r="V4" s="520"/>
      <c r="W4" s="520"/>
      <c r="X4" s="521"/>
      <c r="Y4" s="520"/>
      <c r="Z4" s="520"/>
      <c r="AA4" s="522"/>
    </row>
    <row r="5" spans="1:27" x14ac:dyDescent="0.2">
      <c r="B5" s="16"/>
      <c r="C5" s="16"/>
      <c r="F5" s="530"/>
      <c r="G5" s="523" t="s">
        <v>17</v>
      </c>
      <c r="H5" s="524"/>
      <c r="I5" s="102"/>
      <c r="J5" s="523" t="s">
        <v>39</v>
      </c>
      <c r="K5" s="524"/>
      <c r="L5" s="102"/>
      <c r="M5" s="523" t="s">
        <v>40</v>
      </c>
      <c r="N5" s="524"/>
      <c r="O5" s="102"/>
      <c r="P5" s="473" t="s">
        <v>41</v>
      </c>
      <c r="Q5" s="476"/>
      <c r="R5" s="100"/>
      <c r="S5" s="473" t="s">
        <v>84</v>
      </c>
      <c r="T5" s="476"/>
      <c r="U5" s="100"/>
      <c r="V5" s="473" t="s">
        <v>42</v>
      </c>
      <c r="W5" s="476"/>
      <c r="X5" s="102"/>
      <c r="Y5" s="523" t="s">
        <v>234</v>
      </c>
      <c r="Z5" s="524"/>
      <c r="AA5" s="102"/>
    </row>
    <row r="6" spans="1:27" ht="13.5" customHeight="1" x14ac:dyDescent="0.2">
      <c r="B6" s="16"/>
      <c r="C6" s="16"/>
      <c r="F6" s="531"/>
      <c r="G6" s="56" t="s">
        <v>134</v>
      </c>
      <c r="H6" s="408" t="s">
        <v>242</v>
      </c>
      <c r="I6" s="92"/>
      <c r="J6" s="56" t="s">
        <v>134</v>
      </c>
      <c r="K6" s="446" t="s">
        <v>242</v>
      </c>
      <c r="L6" s="92"/>
      <c r="M6" s="56" t="s">
        <v>134</v>
      </c>
      <c r="N6" s="446" t="s">
        <v>242</v>
      </c>
      <c r="O6" s="92"/>
      <c r="P6" s="56" t="s">
        <v>134</v>
      </c>
      <c r="Q6" s="446" t="s">
        <v>242</v>
      </c>
      <c r="R6" s="100"/>
      <c r="S6" s="56" t="s">
        <v>134</v>
      </c>
      <c r="T6" s="446" t="s">
        <v>242</v>
      </c>
      <c r="U6" s="100"/>
      <c r="V6" s="56" t="s">
        <v>134</v>
      </c>
      <c r="W6" s="446" t="s">
        <v>242</v>
      </c>
      <c r="X6" s="92"/>
      <c r="Y6" s="56" t="s">
        <v>134</v>
      </c>
      <c r="Z6" s="446" t="s">
        <v>242</v>
      </c>
      <c r="AA6" s="102"/>
    </row>
    <row r="7" spans="1:27" ht="15.75" thickBot="1" x14ac:dyDescent="0.25">
      <c r="B7" s="16"/>
      <c r="C7" s="16"/>
      <c r="F7" s="65">
        <v>2017</v>
      </c>
      <c r="G7" s="456">
        <f>+(('Income - Continuing Ops'!$B46/'Income - Historical'!$B40)^(1/20)-1)*100</f>
        <v>1.5329641594136634</v>
      </c>
      <c r="H7" s="297">
        <f>+(('Income - Continuing Ops'!$B46/'Income - Historical'!$B10)^(1/50)-1)*100</f>
        <v>12.0523690789752</v>
      </c>
      <c r="I7" s="295"/>
      <c r="J7" s="456">
        <f>+(('Income - Continuing Ops'!$F46/'Income - Historical'!$I40)^(1/20)-1)*100</f>
        <v>1.2459772964156679</v>
      </c>
      <c r="K7" s="297">
        <f>+(('Income - Continuing Ops'!$F46/'Income - Historical'!$I10)^(1/50)-1)*100</f>
        <v>13.586494630075642</v>
      </c>
      <c r="L7" s="295"/>
      <c r="M7" s="456">
        <f>+(('Income - Continuing Ops'!$N46/'Income - Historical'!$M40)^(1/20)-1)*100</f>
        <v>2.4164153394330867</v>
      </c>
      <c r="N7" s="297">
        <f>+(('Income - Continuing Ops'!$N46/'Income - Historical'!$M10)^(1/50)-1)*100</f>
        <v>14.352266634075095</v>
      </c>
      <c r="O7" s="295"/>
      <c r="P7" s="456">
        <f>+(('Income - Continuing Ops'!$W46/'Income - Historical'!$V40)^(1/20)-1)*100</f>
        <v>4.2018831307979898</v>
      </c>
      <c r="Q7" s="297">
        <f>+(('Income - Continuing Ops'!$W46/'Income - Historical'!$V10)^(1/50)-1)*100</f>
        <v>11.055439481810314</v>
      </c>
      <c r="R7" s="295"/>
      <c r="S7" s="296">
        <f>+(('Cash Flow'!O60/'Cash Flow'!O40)^(1/20)-1)*100</f>
        <v>2.1791391138770377</v>
      </c>
      <c r="T7" s="297">
        <f>+(('Cash Flow'!O60/'Cash Flow'!O10)^(1/50)-1)*100</f>
        <v>13.842491803029567</v>
      </c>
      <c r="U7" s="60"/>
      <c r="V7" s="456">
        <f>+(('Income - Continuing Ops'!$Y46/'Income - Historical'!$X40)^(1/20)-1)*100</f>
        <v>8.654127568636838</v>
      </c>
      <c r="W7" s="297">
        <f>+(('Income - Continuing Ops'!$Y46/'Income - Historical'!$X10)^(1/50)-1)*100</f>
        <v>11.747679385773724</v>
      </c>
      <c r="X7" s="298"/>
      <c r="Y7" s="456">
        <f>+(('Income - Continuing Ops'!$Z46/'Income - Historical'!$Y40)^(1/20)-1)*100</f>
        <v>4.2055230535072097</v>
      </c>
      <c r="Z7" s="297">
        <f>+(('Income - Continuing Ops'!$Z46/'Income - Historical'!$Y10)^(1/50)-1)*100</f>
        <v>13.752135056497771</v>
      </c>
      <c r="AA7" s="103"/>
    </row>
    <row r="8" spans="1:27" ht="13.5" thickTop="1" x14ac:dyDescent="0.2"/>
    <row r="9" spans="1:27" ht="18.75" customHeight="1" x14ac:dyDescent="0.25">
      <c r="A9" s="529" t="s">
        <v>114</v>
      </c>
      <c r="B9" s="519" t="s">
        <v>37</v>
      </c>
      <c r="C9" s="520"/>
      <c r="D9" s="525"/>
      <c r="E9" s="519" t="s">
        <v>133</v>
      </c>
      <c r="F9" s="525"/>
      <c r="G9" s="519" t="s">
        <v>212</v>
      </c>
      <c r="H9" s="520"/>
      <c r="I9" s="520"/>
      <c r="J9" s="520"/>
      <c r="K9" s="520"/>
      <c r="L9" s="520"/>
      <c r="M9" s="520"/>
      <c r="N9" s="520"/>
      <c r="O9" s="520"/>
      <c r="P9" s="520"/>
      <c r="Q9" s="520"/>
      <c r="R9" s="520"/>
      <c r="S9" s="520"/>
      <c r="T9" s="520"/>
      <c r="U9" s="520"/>
      <c r="V9" s="520"/>
      <c r="W9" s="520"/>
      <c r="X9" s="520"/>
      <c r="Y9" s="520"/>
      <c r="Z9" s="520"/>
      <c r="AA9" s="525"/>
    </row>
    <row r="10" spans="1:27" ht="13.5" customHeight="1" x14ac:dyDescent="0.2">
      <c r="A10" s="530"/>
      <c r="B10" s="468" t="s">
        <v>180</v>
      </c>
      <c r="C10" s="11"/>
      <c r="D10" s="460" t="s">
        <v>38</v>
      </c>
      <c r="E10" s="526" t="s">
        <v>111</v>
      </c>
      <c r="F10" s="527"/>
      <c r="G10" s="473" t="s">
        <v>17</v>
      </c>
      <c r="H10" s="474"/>
      <c r="I10" s="476"/>
      <c r="J10" s="523" t="s">
        <v>39</v>
      </c>
      <c r="K10" s="528"/>
      <c r="L10" s="524"/>
      <c r="M10" s="523" t="s">
        <v>40</v>
      </c>
      <c r="N10" s="528"/>
      <c r="O10" s="524"/>
      <c r="P10" s="473" t="s">
        <v>41</v>
      </c>
      <c r="Q10" s="474"/>
      <c r="R10" s="476"/>
      <c r="S10" s="473" t="s">
        <v>84</v>
      </c>
      <c r="T10" s="474"/>
      <c r="U10" s="476"/>
      <c r="V10" s="523" t="s">
        <v>42</v>
      </c>
      <c r="W10" s="528"/>
      <c r="X10" s="524"/>
      <c r="Y10" s="473" t="s">
        <v>234</v>
      </c>
      <c r="Z10" s="474"/>
      <c r="AA10" s="476"/>
    </row>
    <row r="11" spans="1:27" ht="13.5" customHeight="1" x14ac:dyDescent="0.2">
      <c r="A11" s="531"/>
      <c r="B11" s="532"/>
      <c r="C11" s="42" t="s">
        <v>39</v>
      </c>
      <c r="D11" s="533"/>
      <c r="E11" s="93" t="s">
        <v>110</v>
      </c>
      <c r="F11" s="101" t="s">
        <v>112</v>
      </c>
      <c r="G11" s="92" t="s">
        <v>131</v>
      </c>
      <c r="H11" s="92" t="s">
        <v>132</v>
      </c>
      <c r="I11" s="57" t="s">
        <v>64</v>
      </c>
      <c r="J11" s="92" t="s">
        <v>131</v>
      </c>
      <c r="K11" s="92" t="s">
        <v>132</v>
      </c>
      <c r="L11" s="57" t="s">
        <v>64</v>
      </c>
      <c r="M11" s="92" t="s">
        <v>131</v>
      </c>
      <c r="N11" s="92" t="s">
        <v>132</v>
      </c>
      <c r="O11" s="57" t="s">
        <v>64</v>
      </c>
      <c r="P11" s="92" t="s">
        <v>131</v>
      </c>
      <c r="Q11" s="92" t="s">
        <v>132</v>
      </c>
      <c r="R11" s="57" t="s">
        <v>64</v>
      </c>
      <c r="S11" s="92" t="s">
        <v>131</v>
      </c>
      <c r="T11" s="92" t="s">
        <v>132</v>
      </c>
      <c r="U11" s="57" t="s">
        <v>64</v>
      </c>
      <c r="V11" s="92" t="s">
        <v>131</v>
      </c>
      <c r="W11" s="92" t="s">
        <v>132</v>
      </c>
      <c r="X11" s="57" t="s">
        <v>64</v>
      </c>
      <c r="Y11" s="92" t="s">
        <v>131</v>
      </c>
      <c r="Z11" s="100" t="s">
        <v>132</v>
      </c>
      <c r="AA11" s="57" t="s">
        <v>64</v>
      </c>
    </row>
    <row r="12" spans="1:27" ht="12.75" hidden="1" customHeight="1" x14ac:dyDescent="0.2">
      <c r="A12" s="11"/>
      <c r="B12" s="50"/>
      <c r="C12" s="51"/>
      <c r="D12" s="29"/>
      <c r="E12" s="28"/>
      <c r="F12" s="28"/>
      <c r="G12" s="30"/>
      <c r="H12" s="45"/>
      <c r="I12" s="45"/>
      <c r="J12" s="30"/>
      <c r="K12" s="52"/>
      <c r="L12" s="45"/>
      <c r="M12" s="30"/>
      <c r="N12" s="52"/>
      <c r="O12" s="45"/>
      <c r="P12" s="30"/>
      <c r="Q12" s="52"/>
      <c r="R12" s="45"/>
      <c r="S12" s="45"/>
      <c r="T12" s="45"/>
      <c r="U12" s="45"/>
      <c r="V12" s="53"/>
      <c r="W12" s="52"/>
      <c r="X12" s="45"/>
      <c r="Y12" s="30"/>
      <c r="Z12" s="45"/>
      <c r="AA12" s="45"/>
    </row>
    <row r="13" spans="1:27" ht="15" x14ac:dyDescent="0.2">
      <c r="A13" s="160">
        <v>1967</v>
      </c>
      <c r="B13" s="161">
        <v>16.25534468531993</v>
      </c>
      <c r="C13" s="162">
        <v>6.00855149651189</v>
      </c>
      <c r="D13" s="163">
        <v>3.0830395319180854</v>
      </c>
      <c r="E13" s="162"/>
      <c r="F13" s="164"/>
      <c r="G13" s="168">
        <v>0.2</v>
      </c>
      <c r="H13" s="164">
        <v>10.7</v>
      </c>
      <c r="I13" s="165"/>
      <c r="J13" s="166">
        <v>10.5</v>
      </c>
      <c r="K13" s="164"/>
      <c r="L13" s="165"/>
      <c r="M13" s="166">
        <v>17.2</v>
      </c>
      <c r="N13" s="167">
        <v>51.3</v>
      </c>
      <c r="O13" s="165"/>
      <c r="P13" s="166">
        <v>0</v>
      </c>
      <c r="Q13" s="167">
        <v>26.6</v>
      </c>
      <c r="R13" s="165"/>
      <c r="S13" s="164"/>
      <c r="T13" s="167"/>
      <c r="U13" s="165"/>
      <c r="V13" s="168">
        <v>120</v>
      </c>
      <c r="W13" s="164">
        <v>22.4</v>
      </c>
      <c r="X13" s="165"/>
      <c r="Y13" s="166"/>
      <c r="Z13" s="169"/>
      <c r="AA13" s="165"/>
    </row>
    <row r="14" spans="1:27" ht="15" x14ac:dyDescent="0.2">
      <c r="A14" s="170">
        <v>1968</v>
      </c>
      <c r="B14" s="161">
        <v>19.161953134018237</v>
      </c>
      <c r="C14" s="162">
        <v>7.5435761283619991</v>
      </c>
      <c r="D14" s="163">
        <v>3.3648851437146479</v>
      </c>
      <c r="E14" s="162"/>
      <c r="F14" s="164"/>
      <c r="G14" s="168">
        <v>29.96774435526217</v>
      </c>
      <c r="H14" s="164">
        <v>16.100000000000001</v>
      </c>
      <c r="I14" s="165"/>
      <c r="J14" s="166">
        <v>63.171036204744048</v>
      </c>
      <c r="K14" s="164"/>
      <c r="L14" s="165"/>
      <c r="M14" s="166">
        <v>41.849148418491481</v>
      </c>
      <c r="N14" s="167">
        <v>41.4</v>
      </c>
      <c r="O14" s="165"/>
      <c r="P14" s="166">
        <v>30.769230769230795</v>
      </c>
      <c r="Q14" s="167">
        <v>16.3</v>
      </c>
      <c r="R14" s="165"/>
      <c r="S14" s="164"/>
      <c r="T14" s="167"/>
      <c r="U14" s="165"/>
      <c r="V14" s="168">
        <v>12.72727272727272</v>
      </c>
      <c r="W14" s="164">
        <v>15.6</v>
      </c>
      <c r="X14" s="165"/>
      <c r="Y14" s="166">
        <v>268.42105263157896</v>
      </c>
      <c r="Z14" s="169"/>
      <c r="AA14" s="165"/>
    </row>
    <row r="15" spans="1:27" ht="15" x14ac:dyDescent="0.2">
      <c r="A15" s="170">
        <v>1969</v>
      </c>
      <c r="B15" s="161">
        <v>18.509395733185013</v>
      </c>
      <c r="C15" s="162">
        <v>6.8135711731754798</v>
      </c>
      <c r="D15" s="163">
        <v>2.9597552739263437</v>
      </c>
      <c r="E15" s="162"/>
      <c r="F15" s="164"/>
      <c r="G15" s="168">
        <v>45.278771788064162</v>
      </c>
      <c r="H15" s="164">
        <v>22.1</v>
      </c>
      <c r="I15" s="165"/>
      <c r="J15" s="166">
        <v>31.219892884468248</v>
      </c>
      <c r="K15" s="164"/>
      <c r="L15" s="165"/>
      <c r="M15" s="166">
        <v>27.787307032590071</v>
      </c>
      <c r="N15" s="167">
        <v>25.6</v>
      </c>
      <c r="O15" s="165"/>
      <c r="P15" s="166">
        <v>0</v>
      </c>
      <c r="Q15" s="167">
        <v>-1.1000000000000001</v>
      </c>
      <c r="R15" s="165"/>
      <c r="S15" s="171"/>
      <c r="T15" s="167"/>
      <c r="U15" s="165"/>
      <c r="V15" s="168">
        <v>6.4516129032258007</v>
      </c>
      <c r="W15" s="164">
        <v>17.100000000000001</v>
      </c>
      <c r="X15" s="165"/>
      <c r="Y15" s="166">
        <v>39.285714285714278</v>
      </c>
      <c r="Z15" s="169"/>
      <c r="AA15" s="165"/>
    </row>
    <row r="16" spans="1:27" ht="15" x14ac:dyDescent="0.2">
      <c r="A16" s="172">
        <v>1970</v>
      </c>
      <c r="B16" s="173">
        <v>20.813428874734608</v>
      </c>
      <c r="C16" s="174">
        <v>7.484076433121019</v>
      </c>
      <c r="D16" s="175">
        <v>3.1747611464968157</v>
      </c>
      <c r="E16" s="174"/>
      <c r="F16" s="176"/>
      <c r="G16" s="181">
        <v>19.756863056692218</v>
      </c>
      <c r="H16" s="176">
        <v>20.3</v>
      </c>
      <c r="I16" s="177"/>
      <c r="J16" s="178">
        <v>31.541814670644008</v>
      </c>
      <c r="K16" s="179">
        <v>35.4</v>
      </c>
      <c r="L16" s="177"/>
      <c r="M16" s="178">
        <v>28.456375838926174</v>
      </c>
      <c r="N16" s="179">
        <v>29.7</v>
      </c>
      <c r="O16" s="177"/>
      <c r="P16" s="178">
        <v>5.8823529411764497</v>
      </c>
      <c r="Q16" s="179">
        <v>-1.1000000000000001</v>
      </c>
      <c r="R16" s="177"/>
      <c r="S16" s="180"/>
      <c r="T16" s="179"/>
      <c r="U16" s="177"/>
      <c r="V16" s="181">
        <v>1.5151515151515138</v>
      </c>
      <c r="W16" s="176">
        <v>10.9</v>
      </c>
      <c r="X16" s="177"/>
      <c r="Y16" s="178">
        <v>-38.461538461538467</v>
      </c>
      <c r="Z16" s="182"/>
      <c r="AA16" s="177"/>
    </row>
    <row r="17" spans="1:27" ht="15" x14ac:dyDescent="0.2">
      <c r="A17" s="170">
        <v>1971</v>
      </c>
      <c r="B17" s="161">
        <v>20.978888828896928</v>
      </c>
      <c r="C17" s="162">
        <v>8.1502078721451312</v>
      </c>
      <c r="D17" s="163">
        <v>3.2476648129150694</v>
      </c>
      <c r="E17" s="162"/>
      <c r="F17" s="164"/>
      <c r="G17" s="168">
        <v>22.883492569002129</v>
      </c>
      <c r="H17" s="164">
        <v>22.7</v>
      </c>
      <c r="I17" s="165"/>
      <c r="J17" s="166">
        <v>33.820921985815609</v>
      </c>
      <c r="K17" s="167">
        <v>33</v>
      </c>
      <c r="L17" s="165"/>
      <c r="M17" s="166">
        <v>25.705329153605039</v>
      </c>
      <c r="N17" s="167">
        <v>28</v>
      </c>
      <c r="O17" s="165"/>
      <c r="P17" s="166">
        <v>16.666666666666675</v>
      </c>
      <c r="Q17" s="167">
        <v>10.1</v>
      </c>
      <c r="R17" s="165"/>
      <c r="S17" s="164"/>
      <c r="T17" s="167"/>
      <c r="U17" s="165"/>
      <c r="V17" s="183">
        <v>0</v>
      </c>
      <c r="W17" s="164">
        <v>21.8</v>
      </c>
      <c r="X17" s="165"/>
      <c r="Y17" s="166">
        <v>33.33333333333335</v>
      </c>
      <c r="Z17" s="184"/>
      <c r="AA17" s="165"/>
    </row>
    <row r="18" spans="1:27" ht="15" x14ac:dyDescent="0.2">
      <c r="A18" s="170">
        <v>1972</v>
      </c>
      <c r="B18" s="161">
        <v>22.843759082283349</v>
      </c>
      <c r="C18" s="162">
        <v>9.1815071888943969</v>
      </c>
      <c r="D18" s="163">
        <v>4.2090506556340079</v>
      </c>
      <c r="E18" s="162"/>
      <c r="F18" s="162"/>
      <c r="G18" s="161">
        <v>57.909940068030878</v>
      </c>
      <c r="H18" s="162">
        <v>34.415153871551873</v>
      </c>
      <c r="I18" s="163"/>
      <c r="J18" s="166">
        <v>77.891321629678686</v>
      </c>
      <c r="K18" s="167">
        <v>46.311031367029365</v>
      </c>
      <c r="L18" s="163"/>
      <c r="M18" s="166">
        <v>104.65502909393183</v>
      </c>
      <c r="N18" s="167">
        <v>43.05045560662213</v>
      </c>
      <c r="O18" s="163"/>
      <c r="P18" s="166">
        <v>42.85714285714284</v>
      </c>
      <c r="Q18" s="167">
        <v>18.204927370905001</v>
      </c>
      <c r="R18" s="163"/>
      <c r="S18" s="162"/>
      <c r="T18" s="167"/>
      <c r="U18" s="163"/>
      <c r="V18" s="161">
        <v>2.9850746268656581</v>
      </c>
      <c r="W18" s="162">
        <v>4.6398913996584357</v>
      </c>
      <c r="X18" s="163"/>
      <c r="Y18" s="166">
        <v>100</v>
      </c>
      <c r="Z18" s="162">
        <v>53.134581622349188</v>
      </c>
      <c r="AA18" s="163"/>
    </row>
    <row r="19" spans="1:27" ht="15" x14ac:dyDescent="0.2">
      <c r="A19" s="170">
        <v>1973</v>
      </c>
      <c r="B19" s="161">
        <v>23.808596839146887</v>
      </c>
      <c r="C19" s="162">
        <v>10.222250069957298</v>
      </c>
      <c r="D19" s="163">
        <v>4.494300001216649</v>
      </c>
      <c r="E19" s="162"/>
      <c r="F19" s="162"/>
      <c r="G19" s="161">
        <v>40.517668780879745</v>
      </c>
      <c r="H19" s="162">
        <v>36.529752970332297</v>
      </c>
      <c r="I19" s="163"/>
      <c r="J19" s="166">
        <v>56.445637951795916</v>
      </c>
      <c r="K19" s="167">
        <v>45.084544019295848</v>
      </c>
      <c r="L19" s="163"/>
      <c r="M19" s="166">
        <v>50.040617384240434</v>
      </c>
      <c r="N19" s="167">
        <v>44.665731462986223</v>
      </c>
      <c r="O19" s="163"/>
      <c r="P19" s="166">
        <v>33.33333333333335</v>
      </c>
      <c r="Q19" s="167">
        <v>18.664882623542333</v>
      </c>
      <c r="R19" s="163"/>
      <c r="S19" s="162"/>
      <c r="T19" s="167"/>
      <c r="U19" s="163"/>
      <c r="V19" s="161">
        <v>4.3478260869565188</v>
      </c>
      <c r="W19" s="162">
        <v>3.0358033101851145</v>
      </c>
      <c r="X19" s="163"/>
      <c r="Y19" s="166">
        <v>-57.8125</v>
      </c>
      <c r="Z19" s="167">
        <v>-0.72471407402715515</v>
      </c>
      <c r="AA19" s="163"/>
    </row>
    <row r="20" spans="1:27" ht="15" x14ac:dyDescent="0.2">
      <c r="A20" s="170">
        <v>1974</v>
      </c>
      <c r="B20" s="161">
        <v>22.7214935051175</v>
      </c>
      <c r="C20" s="162">
        <v>9.8885380686995408</v>
      </c>
      <c r="D20" s="163">
        <v>3.473119874552351</v>
      </c>
      <c r="E20" s="162"/>
      <c r="F20" s="162"/>
      <c r="G20" s="161">
        <v>14.829730025671296</v>
      </c>
      <c r="H20" s="162">
        <v>30.256001161654879</v>
      </c>
      <c r="I20" s="163"/>
      <c r="J20" s="166">
        <v>11.081038813021781</v>
      </c>
      <c r="K20" s="167">
        <v>40.329571754003183</v>
      </c>
      <c r="L20" s="163"/>
      <c r="M20" s="166">
        <v>-11.261505143475903</v>
      </c>
      <c r="N20" s="167">
        <v>34.49016775452187</v>
      </c>
      <c r="O20" s="163"/>
      <c r="P20" s="166">
        <v>-12.5</v>
      </c>
      <c r="Q20" s="167">
        <v>15.537728404441831</v>
      </c>
      <c r="R20" s="163"/>
      <c r="S20" s="162"/>
      <c r="T20" s="167"/>
      <c r="U20" s="163"/>
      <c r="V20" s="161">
        <v>12.5</v>
      </c>
      <c r="W20" s="162">
        <v>4.1809268102644292</v>
      </c>
      <c r="X20" s="163"/>
      <c r="Y20" s="166">
        <v>-44.44444444444445</v>
      </c>
      <c r="Z20" s="167">
        <v>-17.395191180786675</v>
      </c>
      <c r="AA20" s="163"/>
    </row>
    <row r="21" spans="1:27" ht="15" x14ac:dyDescent="0.2">
      <c r="A21" s="172">
        <v>1975</v>
      </c>
      <c r="B21" s="173">
        <v>22.368916238620763</v>
      </c>
      <c r="C21" s="174">
        <v>8.8124904643238562</v>
      </c>
      <c r="D21" s="175">
        <v>3.2853582871382798</v>
      </c>
      <c r="E21" s="174"/>
      <c r="F21" s="174"/>
      <c r="G21" s="173">
        <v>4.1671081350257433</v>
      </c>
      <c r="H21" s="174">
        <v>26.67291961704381</v>
      </c>
      <c r="I21" s="175"/>
      <c r="J21" s="178">
        <v>-7.1681131468981141</v>
      </c>
      <c r="K21" s="179">
        <v>30.880778521870035</v>
      </c>
      <c r="L21" s="175"/>
      <c r="M21" s="178">
        <v>-1.4643075045759568</v>
      </c>
      <c r="N21" s="179">
        <v>27.54343725616777</v>
      </c>
      <c r="O21" s="175"/>
      <c r="P21" s="178">
        <v>-2.8571428571428581</v>
      </c>
      <c r="Q21" s="179">
        <v>13.564157249607756</v>
      </c>
      <c r="R21" s="175"/>
      <c r="S21" s="174"/>
      <c r="T21" s="179"/>
      <c r="U21" s="175"/>
      <c r="V21" s="173">
        <v>9.8765432098765427</v>
      </c>
      <c r="W21" s="174">
        <v>5.8432193048197467</v>
      </c>
      <c r="X21" s="175"/>
      <c r="Y21" s="178">
        <v>40</v>
      </c>
      <c r="Z21" s="179">
        <v>-2.6352819384831916</v>
      </c>
      <c r="AA21" s="175"/>
    </row>
    <row r="22" spans="1:27" ht="15" x14ac:dyDescent="0.2">
      <c r="A22" s="170">
        <v>1976</v>
      </c>
      <c r="B22" s="161">
        <v>23.695748224178367</v>
      </c>
      <c r="C22" s="162">
        <v>10.473948951500528</v>
      </c>
      <c r="D22" s="163">
        <v>4.5049790979845694</v>
      </c>
      <c r="E22" s="166">
        <v>19.7</v>
      </c>
      <c r="F22" s="162">
        <f>+G22-E22</f>
        <v>9.098306463922512E-3</v>
      </c>
      <c r="G22" s="161">
        <v>19.709098306463922</v>
      </c>
      <c r="H22" s="162">
        <v>26.011593383193986</v>
      </c>
      <c r="I22" s="163"/>
      <c r="J22" s="166">
        <v>42.278393351800567</v>
      </c>
      <c r="K22" s="167">
        <v>32.494806914093679</v>
      </c>
      <c r="L22" s="163"/>
      <c r="M22" s="166">
        <v>64.148606811145498</v>
      </c>
      <c r="N22" s="167">
        <v>34.53485630658961</v>
      </c>
      <c r="O22" s="163"/>
      <c r="P22" s="166">
        <v>61.764705882352921</v>
      </c>
      <c r="Q22" s="167">
        <v>21.235184842949906</v>
      </c>
      <c r="R22" s="163"/>
      <c r="S22" s="162"/>
      <c r="T22" s="167">
        <f>(('Cash Flow'!O19/'Cash Flow'!O14)^0.2-1)*100</f>
        <v>49.911712711030496</v>
      </c>
      <c r="U22" s="163"/>
      <c r="V22" s="161">
        <v>12.359550561797761</v>
      </c>
      <c r="W22" s="162">
        <v>8.3390540960142303</v>
      </c>
      <c r="X22" s="163"/>
      <c r="Y22" s="166">
        <v>66.666666666666657</v>
      </c>
      <c r="Z22" s="162">
        <v>1.8084002320198911</v>
      </c>
      <c r="AA22" s="163"/>
    </row>
    <row r="23" spans="1:27" ht="15" x14ac:dyDescent="0.2">
      <c r="A23" s="170">
        <v>1977</v>
      </c>
      <c r="B23" s="161">
        <v>21.174145843957167</v>
      </c>
      <c r="C23" s="162">
        <v>9.3561958184599696</v>
      </c>
      <c r="D23" s="163">
        <v>4.1471188169301376</v>
      </c>
      <c r="E23" s="166">
        <v>22.2</v>
      </c>
      <c r="F23" s="162">
        <f t="shared" ref="F23:F48" si="0">+G23-E23</f>
        <v>11.097080515243182</v>
      </c>
      <c r="G23" s="161">
        <v>33.297080515243181</v>
      </c>
      <c r="H23" s="162">
        <v>21.81274695148927</v>
      </c>
      <c r="I23" s="163">
        <f>+(('Income - Historical'!B20/'Income - Historical'!B10)^0.1-1)*100</f>
        <v>27.958896232348152</v>
      </c>
      <c r="J23" s="166">
        <v>19.071955869230163</v>
      </c>
      <c r="K23" s="167">
        <v>22.272784299571825</v>
      </c>
      <c r="L23" s="163">
        <f>+(('Income - Historical'!I20/'Income - Historical'!I10)^0.1-1)*100</f>
        <v>33.752970729582941</v>
      </c>
      <c r="M23" s="166">
        <v>22.708411920030191</v>
      </c>
      <c r="N23" s="167">
        <v>21.45214854209383</v>
      </c>
      <c r="O23" s="163">
        <f>+(('Income - Historical'!M20/'Income - Historical'!M10)^0.1-1)*100</f>
        <v>31.809655121882741</v>
      </c>
      <c r="P23" s="166">
        <v>23.636363636363654</v>
      </c>
      <c r="Q23" s="167">
        <v>17.781622215659041</v>
      </c>
      <c r="R23" s="163">
        <f>+(('Income - Historical'!V20/'Income - Historical'!V10)^0.1-1)*100</f>
        <v>17.993084965303584</v>
      </c>
      <c r="S23" s="162"/>
      <c r="T23" s="167">
        <f>(('Cash Flow'!O20/'Cash Flow'!O15)^0.2-1)*100</f>
        <v>75.712623171768456</v>
      </c>
      <c r="U23" s="163">
        <f>(('Cash Flow'!O20/'Cash Flow'!O10)^0.1-1)*100</f>
        <v>25.724669558937908</v>
      </c>
      <c r="V23" s="161">
        <v>22</v>
      </c>
      <c r="W23" s="162">
        <v>12.073296918302322</v>
      </c>
      <c r="X23" s="163">
        <f>+(('Income - Historical'!X20/'Income - Historical'!X10)^0.1-1)*100</f>
        <v>8.2928327191270199</v>
      </c>
      <c r="Y23" s="166">
        <v>34.285714285714299</v>
      </c>
      <c r="Z23" s="167">
        <v>-5.9879383317284818</v>
      </c>
      <c r="AA23" s="163">
        <f>+(('Income - Historical'!Y20/'Income - Historical'!Y10)^0.1-1)*100</f>
        <v>19.985406325207954</v>
      </c>
    </row>
    <row r="24" spans="1:27" ht="15" x14ac:dyDescent="0.2">
      <c r="A24" s="170">
        <v>1978</v>
      </c>
      <c r="B24" s="162">
        <v>21.446016389520945</v>
      </c>
      <c r="C24" s="162">
        <v>10.373910286009934</v>
      </c>
      <c r="D24" s="163">
        <v>4.9324335601310709</v>
      </c>
      <c r="E24" s="166">
        <v>14.6</v>
      </c>
      <c r="F24" s="162">
        <f t="shared" si="0"/>
        <v>-2.2616012238660943E-2</v>
      </c>
      <c r="G24" s="161">
        <v>14.577383987761339</v>
      </c>
      <c r="H24" s="162">
        <v>16.940872591317667</v>
      </c>
      <c r="I24" s="163">
        <f>+(('Income - Historical'!B21/'Income - Historical'!B11)^0.1-1)*100</f>
        <v>26.356275851370768</v>
      </c>
      <c r="J24" s="166">
        <v>27.040468728709619</v>
      </c>
      <c r="K24" s="167">
        <v>17.28582511972856</v>
      </c>
      <c r="L24" s="163">
        <f>+(('Income - Historical'!I21/'Income - Historical'!I11)^0.1-1)*100</f>
        <v>30.446772506730468</v>
      </c>
      <c r="M24" s="166">
        <v>36.274208422994157</v>
      </c>
      <c r="N24" s="167">
        <v>19.136864836017931</v>
      </c>
      <c r="O24" s="163">
        <f>+(('Income - Historical'!M21/'Income - Historical'!M11)^0.1-1)*100</f>
        <v>31.282221552308663</v>
      </c>
      <c r="P24" s="166">
        <v>35.294117647058812</v>
      </c>
      <c r="Q24" s="167">
        <v>18.126018804310839</v>
      </c>
      <c r="R24" s="163">
        <f>+(('Income - Historical'!V21/'Income - Historical'!V11)^0.1-1)*100</f>
        <v>18.395144141134011</v>
      </c>
      <c r="S24" s="162"/>
      <c r="T24" s="167">
        <f>(('Cash Flow'!O21/'Cash Flow'!O16)^0.2-1)*100</f>
        <v>33.937566194267553</v>
      </c>
      <c r="U24" s="163">
        <f>(('Cash Flow'!O21/'Cash Flow'!O11)^0.1-1)*100</f>
        <v>29.50481356818624</v>
      </c>
      <c r="V24" s="161">
        <v>20.491803278688515</v>
      </c>
      <c r="W24" s="162">
        <v>15.344520419276764</v>
      </c>
      <c r="X24" s="163">
        <f>+(('Income - Historical'!X21/'Income - Historical'!X11)^0.1-1)*100</f>
        <v>9.0165827699081333</v>
      </c>
      <c r="Y24" s="166">
        <v>19.148936170212782</v>
      </c>
      <c r="Z24" s="162">
        <v>15.708390490417855</v>
      </c>
      <c r="AA24" s="163">
        <f>+(('Income - Historical'!Y21/'Income - Historical'!Y11)^0.1-1)*100</f>
        <v>7.1773462536293131</v>
      </c>
    </row>
    <row r="25" spans="1:27" ht="15" x14ac:dyDescent="0.2">
      <c r="A25" s="170">
        <v>1979</v>
      </c>
      <c r="B25" s="162">
        <v>14.574762980735631</v>
      </c>
      <c r="C25" s="162">
        <v>7.3190617065387027</v>
      </c>
      <c r="D25" s="163">
        <v>3.2057583451745906</v>
      </c>
      <c r="E25" s="166">
        <v>15.1</v>
      </c>
      <c r="F25" s="162">
        <f t="shared" si="0"/>
        <v>4.3137380458305774</v>
      </c>
      <c r="G25" s="161">
        <v>19.413738045830577</v>
      </c>
      <c r="H25" s="162">
        <v>17.859968332269261</v>
      </c>
      <c r="I25" s="163">
        <f>+(('Income - Historical'!B22/'Income - Historical'!B12)^0.1-1)*100</f>
        <v>23.903059574817085</v>
      </c>
      <c r="J25" s="166">
        <v>-15.75052287231189</v>
      </c>
      <c r="K25" s="167">
        <v>10.976489783319776</v>
      </c>
      <c r="L25" s="163">
        <f>+(('Income - Historical'!I22/'Income - Historical'!I12)^0.1-1)*100</f>
        <v>24.792961684767189</v>
      </c>
      <c r="M25" s="166">
        <v>-22.388901421159481</v>
      </c>
      <c r="N25" s="167">
        <v>15.986787988389327</v>
      </c>
      <c r="O25" s="163">
        <f>+(('Income - Historical'!M22/'Income - Historical'!M12)^0.1-1)*100</f>
        <v>24.896287270145233</v>
      </c>
      <c r="P25" s="166">
        <v>-22.826086956521742</v>
      </c>
      <c r="Q25" s="167">
        <v>15.196175519870758</v>
      </c>
      <c r="R25" s="163">
        <f>+(('Income - Historical'!V22/'Income - Historical'!V12)^0.1-1)*100</f>
        <v>15.366825562833441</v>
      </c>
      <c r="S25" s="162"/>
      <c r="T25" s="167">
        <f>(('Cash Flow'!O22/'Cash Flow'!O17)^0.2-1)*100</f>
        <v>29.768583396252414</v>
      </c>
      <c r="U25" s="163"/>
      <c r="V25" s="161">
        <v>24.489795918367353</v>
      </c>
      <c r="W25" s="162">
        <v>17.704539936115982</v>
      </c>
      <c r="X25" s="163">
        <f>+(('Income - Historical'!X22/'Income - Historical'!X12)^0.1-1)*100</f>
        <v>10.736480259760594</v>
      </c>
      <c r="Y25" s="166">
        <v>-17.857142857142861</v>
      </c>
      <c r="Z25" s="162">
        <v>25.121895365706372</v>
      </c>
      <c r="AA25" s="163">
        <f>+(('Income - Historical'!Y22/'Income - Historical'!Y12)^0.1-1)*100</f>
        <v>1.6644984534020635</v>
      </c>
    </row>
    <row r="26" spans="1:27" ht="15" x14ac:dyDescent="0.2">
      <c r="A26" s="172">
        <v>1980</v>
      </c>
      <c r="B26" s="173">
        <v>15.637407611019489</v>
      </c>
      <c r="C26" s="174">
        <v>7.8815326753754462</v>
      </c>
      <c r="D26" s="175">
        <v>3.662835850851244</v>
      </c>
      <c r="E26" s="178">
        <v>1.6</v>
      </c>
      <c r="F26" s="174">
        <f t="shared" si="0"/>
        <v>5.1781686039739991</v>
      </c>
      <c r="G26" s="173">
        <v>6.7781686039739997</v>
      </c>
      <c r="H26" s="174">
        <v>18.444989050138073</v>
      </c>
      <c r="I26" s="175">
        <f>+(('Income - Historical'!B23/'Income - Historical'!B13)^0.1-1)*100</f>
        <v>22.489887651959961</v>
      </c>
      <c r="J26" s="178">
        <v>14.984086569064292</v>
      </c>
      <c r="K26" s="179">
        <v>15.829477212385189</v>
      </c>
      <c r="L26" s="175">
        <f>+(('Income - Historical'!I23/'Income - Historical'!I13)^0.1-1)*100</f>
        <v>23.125351383613022</v>
      </c>
      <c r="M26" s="178">
        <v>22.002615898851907</v>
      </c>
      <c r="N26" s="179">
        <v>21.049677191917993</v>
      </c>
      <c r="O26" s="175">
        <f>+(('Income - Historical'!M23/'Income - Historical'!M13)^0.1-1)*100</f>
        <v>24.254142417091096</v>
      </c>
      <c r="P26" s="178">
        <v>21.126760563380277</v>
      </c>
      <c r="Q26" s="179">
        <v>20.393740258608517</v>
      </c>
      <c r="R26" s="175">
        <f>+(('Income - Historical'!V23/'Income - Historical'!V13)^0.1-1)*100</f>
        <v>16.92909668083924</v>
      </c>
      <c r="S26" s="174"/>
      <c r="T26" s="179">
        <f>(('Cash Flow'!O23/'Cash Flow'!O18)^0.2-1)*100</f>
        <v>13.110792841381702</v>
      </c>
      <c r="U26" s="175"/>
      <c r="V26" s="173">
        <v>16.393442622950815</v>
      </c>
      <c r="W26" s="174">
        <v>19.068784268222227</v>
      </c>
      <c r="X26" s="175">
        <f>+(('Income - Historical'!X23/'Income - Historical'!X13)^0.1-1)*100</f>
        <v>12.261406750760596</v>
      </c>
      <c r="Y26" s="178">
        <v>10.869565217391308</v>
      </c>
      <c r="Z26" s="174">
        <v>19.418105281717768</v>
      </c>
      <c r="AA26" s="175">
        <f>+(('Income - Historical'!Y23/'Income - Historical'!Y13)^0.1-1)*100</f>
        <v>7.8290784167006633</v>
      </c>
    </row>
    <row r="27" spans="1:27" ht="15" x14ac:dyDescent="0.2">
      <c r="A27" s="170">
        <v>1981</v>
      </c>
      <c r="B27" s="161">
        <v>16.542702085118538</v>
      </c>
      <c r="C27" s="162">
        <v>8.9764829096448651</v>
      </c>
      <c r="D27" s="163">
        <v>4.5522231743311439</v>
      </c>
      <c r="E27" s="166">
        <v>14.2</v>
      </c>
      <c r="F27" s="162">
        <f>+G27-E27</f>
        <v>0.36451739574333786</v>
      </c>
      <c r="G27" s="161">
        <v>14.564517395743337</v>
      </c>
      <c r="H27" s="162">
        <v>17.408972190226145</v>
      </c>
      <c r="I27" s="163">
        <f>+(('Income - Historical'!B24/'Income - Historical'!B14)^0.1-1)*100</f>
        <v>21.634253658965275</v>
      </c>
      <c r="J27" s="166">
        <v>30.480513728963675</v>
      </c>
      <c r="K27" s="167">
        <v>13.84145487108912</v>
      </c>
      <c r="L27" s="163">
        <f>+(('Income - Historical'!I24/'Income - Historical'!I14)^0.1-1)*100</f>
        <v>22.814500699080575</v>
      </c>
      <c r="M27" s="166">
        <v>42.38237045860631</v>
      </c>
      <c r="N27" s="167">
        <v>17.654201100090017</v>
      </c>
      <c r="O27" s="163">
        <f>+(('Income - Historical'!M24/'Income - Historical'!M14)^0.1-1)*100</f>
        <v>25.811728542561596</v>
      </c>
      <c r="P27" s="166">
        <v>52.325581395348863</v>
      </c>
      <c r="Q27" s="167">
        <v>18.954731548371171</v>
      </c>
      <c r="R27" s="163">
        <f>+(('Income - Historical'!V24/'Income - Historical'!V14)^0.1-1)*100</f>
        <v>20.089545203611571</v>
      </c>
      <c r="S27" s="162"/>
      <c r="T27" s="234">
        <f>(('Cash Flow'!O24/'Cash Flow'!O19)^0.2-1)*100</f>
        <v>24.258113711703121</v>
      </c>
      <c r="U27" s="163">
        <f>(('Cash Flow'!O24/'Cash Flow'!O14)^0.1-1)*100</f>
        <v>36.483503196406119</v>
      </c>
      <c r="V27" s="161">
        <v>17.370892018779351</v>
      </c>
      <c r="W27" s="162">
        <v>20.112443398143132</v>
      </c>
      <c r="X27" s="163">
        <f>+(('Income - Historical'!X24/'Income - Historical'!X14)^0.1-1)*100</f>
        <v>14.07396066989115</v>
      </c>
      <c r="Y27" s="166">
        <v>80.392156862745097</v>
      </c>
      <c r="Z27" s="162">
        <v>21.323227916786713</v>
      </c>
      <c r="AA27" s="163">
        <f>+(('Income - Historical'!Y24/'Income - Historical'!Y14)^0.1-1)*100</f>
        <v>11.138309080140285</v>
      </c>
    </row>
    <row r="28" spans="1:27" ht="15" x14ac:dyDescent="0.2">
      <c r="A28" s="170">
        <v>1982</v>
      </c>
      <c r="B28" s="161">
        <v>15.113999643580634</v>
      </c>
      <c r="C28" s="162">
        <v>6.8636186749200787</v>
      </c>
      <c r="D28" s="163">
        <v>3.321246594922115</v>
      </c>
      <c r="E28" s="166">
        <v>2.1</v>
      </c>
      <c r="F28" s="162">
        <f t="shared" si="0"/>
        <v>2.6156050652194636</v>
      </c>
      <c r="G28" s="161">
        <v>4.7156050652194637</v>
      </c>
      <c r="H28" s="162">
        <v>11.876646518587709</v>
      </c>
      <c r="I28" s="163">
        <f>+(('Income - Historical'!B25/'Income - Historical'!B15)^0.1-1)*100</f>
        <v>16.739032170692326</v>
      </c>
      <c r="J28" s="166">
        <v>-19.932117098005943</v>
      </c>
      <c r="K28" s="167">
        <v>5.155068082516423</v>
      </c>
      <c r="L28" s="163">
        <f>+(('Income - Historical'!I25/'Income - Historical'!I15)^0.1-1)*100</f>
        <v>13.391370737196407</v>
      </c>
      <c r="M28" s="166">
        <v>-23.600769681251567</v>
      </c>
      <c r="N28" s="167">
        <v>7.016407744373665</v>
      </c>
      <c r="O28" s="163">
        <f>+(('Income - Historical'!M25/'Income - Historical'!M15)^0.1-1)*100</f>
        <v>14.006020234946149</v>
      </c>
      <c r="P28" s="166">
        <v>-19.083969465648863</v>
      </c>
      <c r="Q28" s="167">
        <v>9.2847065672327478</v>
      </c>
      <c r="R28" s="163">
        <f>+(('Income - Historical'!V25/'Income - Historical'!V15)^0.1-1)*100</f>
        <v>13.45364702313876</v>
      </c>
      <c r="S28" s="162"/>
      <c r="T28" s="167">
        <f>(('Cash Flow'!O25/'Cash Flow'!O20)^0.2-1)*100</f>
        <v>16.045649072887368</v>
      </c>
      <c r="U28" s="163">
        <f>(('Cash Flow'!O25/'Cash Flow'!O15)^0.1-1)*100</f>
        <v>42.795957247631968</v>
      </c>
      <c r="V28" s="161">
        <v>13.2</v>
      </c>
      <c r="W28" s="162">
        <v>18.327399747364616</v>
      </c>
      <c r="X28" s="163">
        <f>+(('Income - Historical'!X25/'Income - Historical'!X15)^0.1-1)*100</f>
        <v>15.157899448787472</v>
      </c>
      <c r="Y28" s="166">
        <v>16.304347826086961</v>
      </c>
      <c r="Z28" s="162">
        <v>17.884629788893935</v>
      </c>
      <c r="AA28" s="163">
        <f>+(('Income - Historical'!Y25/'Income - Historical'!Y15)^0.1-1)*100</f>
        <v>5.273819563340898</v>
      </c>
    </row>
    <row r="29" spans="1:27" ht="15" x14ac:dyDescent="0.2">
      <c r="A29" s="170">
        <v>1983</v>
      </c>
      <c r="B29" s="161">
        <v>16.067988860582165</v>
      </c>
      <c r="C29" s="162">
        <v>8.7948867134763233</v>
      </c>
      <c r="D29" s="163">
        <v>4.3989967745397642</v>
      </c>
      <c r="E29" s="166">
        <v>9.8000000000000007</v>
      </c>
      <c r="F29" s="162">
        <f t="shared" si="0"/>
        <v>18.968498347014272</v>
      </c>
      <c r="G29" s="161">
        <v>28.768498347014273</v>
      </c>
      <c r="H29" s="162">
        <v>14.52006497886391</v>
      </c>
      <c r="I29" s="163">
        <f>+(('Income - Historical'!B26/'Income - Historical'!B16)^0.1-1)*100</f>
        <v>15.724138915970087</v>
      </c>
      <c r="J29" s="166">
        <v>65.00105977108943</v>
      </c>
      <c r="K29" s="167">
        <v>10.799841245539277</v>
      </c>
      <c r="L29" s="163">
        <f>+(('Income - Historical'!I26/'Income - Historical'!I16)^0.1-1)*100</f>
        <v>13.996714003597521</v>
      </c>
      <c r="M29" s="166">
        <v>70.554095488392463</v>
      </c>
      <c r="N29" s="167">
        <v>11.928340734784882</v>
      </c>
      <c r="O29" s="163">
        <f>+(('Income - Historical'!M26/'Income - Historical'!M16)^0.1-1)*100</f>
        <v>15.476368151409336</v>
      </c>
      <c r="P29" s="166">
        <v>44.339622641509436</v>
      </c>
      <c r="Q29" s="167">
        <v>10.708437337761612</v>
      </c>
      <c r="R29" s="163">
        <f>+(('Income - Historical'!V26/'Income - Historical'!V16)^0.1-1)*100</f>
        <v>14.357102756043517</v>
      </c>
      <c r="S29" s="162"/>
      <c r="T29" s="167">
        <f>(('Cash Flow'!O26/'Cash Flow'!O21)^0.2-1)*100</f>
        <v>-4.174240044437294</v>
      </c>
      <c r="U29" s="163">
        <f>(('Cash Flow'!O26/'Cash Flow'!O16)^0.1-1)*100</f>
        <v>13.290198460255919</v>
      </c>
      <c r="V29" s="161">
        <v>10.600706713780927</v>
      </c>
      <c r="W29" s="162">
        <v>16.317591381482632</v>
      </c>
      <c r="X29" s="163">
        <f>+(('Income - Historical'!X26/'Income - Historical'!X16)^0.1-1)*100</f>
        <v>15.830034076756249</v>
      </c>
      <c r="Y29" s="166">
        <v>56.07476635514017</v>
      </c>
      <c r="Z29" s="162">
        <v>24.424438294533847</v>
      </c>
      <c r="AA29" s="163">
        <f>+(('Income - Historical'!Y26/'Income - Historical'!Y16)^0.1-1)*100</f>
        <v>19.987297214058543</v>
      </c>
    </row>
    <row r="30" spans="1:27" ht="15" x14ac:dyDescent="0.2">
      <c r="A30" s="170">
        <v>1984</v>
      </c>
      <c r="B30" s="161">
        <v>15.951884938149549</v>
      </c>
      <c r="C30" s="162">
        <v>8.9886185751444749</v>
      </c>
      <c r="D30" s="163">
        <v>4.8894224544801856</v>
      </c>
      <c r="E30" s="166">
        <v>13.6</v>
      </c>
      <c r="F30" s="162">
        <f t="shared" si="0"/>
        <v>6.3845787978240924</v>
      </c>
      <c r="G30" s="161">
        <v>19.984578797824092</v>
      </c>
      <c r="H30" s="162">
        <v>14.62934566355074</v>
      </c>
      <c r="I30" s="163">
        <f>+(('Income - Historical'!B27/'Income - Historical'!B17)^0.1-1)*100</f>
        <v>16.23343344259791</v>
      </c>
      <c r="J30" s="166">
        <v>22.627573139792556</v>
      </c>
      <c r="K30" s="167">
        <v>19.438219876127771</v>
      </c>
      <c r="L30" s="163">
        <f>+(('Income - Historical'!I27/'Income - Historical'!I17)^0.1-1)*100</f>
        <v>15.129641655921922</v>
      </c>
      <c r="M30" s="166">
        <v>33.36115569823437</v>
      </c>
      <c r="N30" s="167">
        <v>24.727199022875411</v>
      </c>
      <c r="O30" s="163">
        <f>+(('Income - Historical'!M27/'Income - Historical'!M17)^0.1-1)*100</f>
        <v>20.27762547311902</v>
      </c>
      <c r="P30" s="166">
        <v>16.339869281045736</v>
      </c>
      <c r="Q30" s="167">
        <v>20.180036262212919</v>
      </c>
      <c r="R30" s="163">
        <f>+(('Income - Historical'!V27/'Income - Historical'!V17)^0.1-1)*100</f>
        <v>17.661720840918839</v>
      </c>
      <c r="S30" s="162"/>
      <c r="T30" s="167">
        <f>(('Cash Flow'!O27/'Cash Flow'!O22)^0.2-1)*100</f>
        <v>22.712958756084944</v>
      </c>
      <c r="U30" s="163">
        <f>(('Cash Flow'!O27/'Cash Flow'!O17)^0.1-1)*100</f>
        <v>26.19146889603865</v>
      </c>
      <c r="V30" s="161">
        <v>17.252396166134186</v>
      </c>
      <c r="W30" s="162">
        <v>14.93253741233065</v>
      </c>
      <c r="X30" s="163">
        <f>+(('Income - Historical'!X27/'Income - Historical'!X17)^0.1-1)*100</f>
        <v>16.310280886122939</v>
      </c>
      <c r="Y30" s="166">
        <v>-5.9880239520957996</v>
      </c>
      <c r="Z30" s="162">
        <v>27.828697620906475</v>
      </c>
      <c r="AA30" s="163">
        <f>+(('Income - Historical'!Y27/'Income - Historical'!Y17)^0.1-1)*100</f>
        <v>26.468054972224419</v>
      </c>
    </row>
    <row r="31" spans="1:27" ht="15" x14ac:dyDescent="0.2">
      <c r="A31" s="172">
        <v>1985</v>
      </c>
      <c r="B31" s="173">
        <v>17.355140635800367</v>
      </c>
      <c r="C31" s="174">
        <v>9.894102881629534</v>
      </c>
      <c r="D31" s="175">
        <v>5.0106398307650863</v>
      </c>
      <c r="E31" s="178">
        <v>5.0999999999999996</v>
      </c>
      <c r="F31" s="174">
        <f t="shared" si="0"/>
        <v>7.6222438002424493</v>
      </c>
      <c r="G31" s="173">
        <v>12.722243800242449</v>
      </c>
      <c r="H31" s="174">
        <v>15.878067748491787</v>
      </c>
      <c r="I31" s="175">
        <f>+(('Income - Historical'!B28/'Income - Historical'!B18)^0.1-1)*100</f>
        <v>17.154498273097762</v>
      </c>
      <c r="J31" s="178">
        <v>24.07751734974466</v>
      </c>
      <c r="K31" s="179">
        <v>21.27028357193117</v>
      </c>
      <c r="L31" s="175">
        <f>+(('Income - Historical'!I28/'Income - Historical'!I18)^0.1-1)*100</f>
        <v>18.518663287831984</v>
      </c>
      <c r="M31" s="178">
        <v>15.516826344422508</v>
      </c>
      <c r="N31" s="179">
        <v>23.371939097693218</v>
      </c>
      <c r="O31" s="175">
        <f>+(('Income - Historical'!M28/'Income - Historical'!M18)^0.1-1)*100</f>
        <v>22.205292038915946</v>
      </c>
      <c r="P31" s="178">
        <v>14.606741573033698</v>
      </c>
      <c r="Q31" s="179">
        <v>18.85743212491786</v>
      </c>
      <c r="R31" s="175">
        <f>+(('Income - Historical'!V28/'Income - Historical'!V18)^0.1-1)*100</f>
        <v>19.623119885131544</v>
      </c>
      <c r="S31" s="174"/>
      <c r="T31" s="179">
        <f>(('Cash Flow'!O28/'Cash Flow'!O23)^0.2-1)*100</f>
        <v>6.9773749854537215</v>
      </c>
      <c r="U31" s="175">
        <f>(('Cash Flow'!O28/'Cash Flow'!O18)^0.1-1)*100</f>
        <v>10.001344085854068</v>
      </c>
      <c r="V31" s="173">
        <v>13.623978201634879</v>
      </c>
      <c r="W31" s="174">
        <v>14.380315542691191</v>
      </c>
      <c r="X31" s="175">
        <f>+(('Income - Historical'!X28/'Income - Historical'!X18)^0.1-1)*100</f>
        <v>16.701007347339903</v>
      </c>
      <c r="Y31" s="178">
        <v>76.433121019108285</v>
      </c>
      <c r="Z31" s="174">
        <v>40.275530106350807</v>
      </c>
      <c r="AA31" s="175">
        <f>+(('Income - Historical'!Y28/'Income - Historical'!Y18)^0.1-1)*100</f>
        <v>29.427346502541617</v>
      </c>
    </row>
    <row r="32" spans="1:27" ht="15" x14ac:dyDescent="0.2">
      <c r="A32" s="170">
        <v>1986</v>
      </c>
      <c r="B32" s="161">
        <v>17.517236198235913</v>
      </c>
      <c r="C32" s="162">
        <v>11.016141755138417</v>
      </c>
      <c r="D32" s="163">
        <v>5.9033338683185184</v>
      </c>
      <c r="E32" s="166">
        <v>8.6</v>
      </c>
      <c r="F32" s="162">
        <f>+G32-E32</f>
        <v>13.70814369931986</v>
      </c>
      <c r="G32" s="161">
        <v>22.30814369931986</v>
      </c>
      <c r="H32" s="162">
        <v>17.403837804149713</v>
      </c>
      <c r="I32" s="163">
        <f>+(('Income - Historical'!B29/'Income - Historical'!B19)^0.1-1)*100</f>
        <v>17.406404969120981</v>
      </c>
      <c r="J32" s="166">
        <v>36.178475695983451</v>
      </c>
      <c r="K32" s="167">
        <v>22.311405074848079</v>
      </c>
      <c r="L32" s="163">
        <f>+(('Income - Historical'!I29/'Income - Historical'!I19)^0.1-1)*100</f>
        <v>18.000458901852646</v>
      </c>
      <c r="M32" s="166">
        <v>44.098524631157801</v>
      </c>
      <c r="N32" s="167">
        <v>23.6679192901744</v>
      </c>
      <c r="O32" s="163">
        <f>+(('Income - Historical'!M29/'Income - Historical'!M19)^0.1-1)*100</f>
        <v>20.623589093493155</v>
      </c>
      <c r="P32" s="166">
        <v>24.509803921568629</v>
      </c>
      <c r="Q32" s="167">
        <v>14.159612037373082</v>
      </c>
      <c r="R32" s="163">
        <f>+(('Income - Historical'!V29/'Income - Historical'!V19)^0.1-1)*100</f>
        <v>16.53251050059772</v>
      </c>
      <c r="S32" s="162"/>
      <c r="T32" s="167">
        <f>(('Cash Flow'!O29/'Cash Flow'!O24)^0.2-1)*100</f>
        <v>20.634242619201149</v>
      </c>
      <c r="U32" s="163">
        <f>(('Cash Flow'!O29/'Cash Flow'!O19)^0.1-1)*100</f>
        <v>22.432771090512695</v>
      </c>
      <c r="V32" s="161">
        <v>19.90407673860912</v>
      </c>
      <c r="W32" s="162">
        <v>14.869835499703509</v>
      </c>
      <c r="X32" s="163">
        <f>+(('Income - Historical'!X29/'Income - Historical'!X19)^0.1-1)*100</f>
        <v>17.461894308801895</v>
      </c>
      <c r="Y32" s="166">
        <v>16.245487364620949</v>
      </c>
      <c r="Z32" s="162">
        <v>28.473515712343932</v>
      </c>
      <c r="AA32" s="163">
        <f>+(('Income - Historical'!Y29/'Income - Historical'!Y19)^0.1-1)*100</f>
        <v>24.847193112378708</v>
      </c>
    </row>
    <row r="33" spans="1:29" ht="15" x14ac:dyDescent="0.2">
      <c r="A33" s="170">
        <v>1987</v>
      </c>
      <c r="B33" s="161">
        <v>17.459048587205135</v>
      </c>
      <c r="C33" s="162">
        <v>10.860615022064088</v>
      </c>
      <c r="D33" s="163">
        <v>5.771164968540381</v>
      </c>
      <c r="E33" s="166">
        <v>10.3</v>
      </c>
      <c r="F33" s="162">
        <f t="shared" si="0"/>
        <v>0.5520606604904259</v>
      </c>
      <c r="G33" s="161">
        <v>10.852060660490427</v>
      </c>
      <c r="H33" s="162">
        <v>18.748673400859484</v>
      </c>
      <c r="I33" s="163">
        <f>+(('Income - Historical'!B30/'Income - Historical'!B20)^0.1-1)*100</f>
        <v>15.261456517862793</v>
      </c>
      <c r="J33" s="166">
        <v>9.2870427774333528</v>
      </c>
      <c r="K33" s="167">
        <v>30.163440991188352</v>
      </c>
      <c r="L33" s="163">
        <f>+(('Income - Historical'!I30/'Income - Historical'!I20)^0.1-1)*100</f>
        <v>16.992929270460699</v>
      </c>
      <c r="M33" s="166">
        <v>8.3702096890817081</v>
      </c>
      <c r="N33" s="167">
        <v>32.623730547017082</v>
      </c>
      <c r="O33" s="163">
        <f>+(('Income - Historical'!M30/'Income - Historical'!M20)^0.1-1)*100</f>
        <v>19.13402211291082</v>
      </c>
      <c r="P33" s="166">
        <v>9.4488188976377998</v>
      </c>
      <c r="Q33" s="167">
        <v>21.268438687311964</v>
      </c>
      <c r="R33" s="163">
        <f>+(('Income - Historical'!V30/'Income - Historical'!V20)^0.1-1)*100</f>
        <v>15.120744168066192</v>
      </c>
      <c r="S33" s="162"/>
      <c r="T33" s="167">
        <f>(('Cash Flow'!O30/'Cash Flow'!O25)^0.2-1)*100</f>
        <v>21.825224627462593</v>
      </c>
      <c r="U33" s="163">
        <f>(('Cash Flow'!O30/'Cash Flow'!O20)^0.1-1)*100</f>
        <v>18.900324916899191</v>
      </c>
      <c r="V33" s="161">
        <v>40</v>
      </c>
      <c r="W33" s="162">
        <v>19.856701310981695</v>
      </c>
      <c r="X33" s="163">
        <f>+(('Income - Historical'!X30/'Income - Historical'!X20)^0.1-1)*100</f>
        <v>19.089595718622764</v>
      </c>
      <c r="Y33" s="166">
        <v>-14.596273291925465</v>
      </c>
      <c r="Z33" s="162">
        <v>20.778542163914992</v>
      </c>
      <c r="AA33" s="163">
        <f>+(('Income - Historical'!Y30/'Income - Historical'!Y20)^0.1-1)*100</f>
        <v>19.322813113986868</v>
      </c>
    </row>
    <row r="34" spans="1:29" ht="15" x14ac:dyDescent="0.2">
      <c r="A34" s="170">
        <v>1988</v>
      </c>
      <c r="B34" s="161">
        <v>15.874005598159794</v>
      </c>
      <c r="C34" s="162">
        <v>8.3187123491651533</v>
      </c>
      <c r="D34" s="163">
        <v>4.6584245884414175</v>
      </c>
      <c r="E34" s="166">
        <v>7.8</v>
      </c>
      <c r="F34" s="162">
        <f t="shared" si="0"/>
        <v>16.946282220117208</v>
      </c>
      <c r="G34" s="161">
        <v>24.746282220117209</v>
      </c>
      <c r="H34" s="162">
        <v>17.997379526805091</v>
      </c>
      <c r="I34" s="163">
        <f>+(('Income - Historical'!B31/'Income - Historical'!B21)^0.1-1)*100</f>
        <v>16.245720655624062</v>
      </c>
      <c r="J34" s="166">
        <v>-4.450306330837317</v>
      </c>
      <c r="K34" s="167">
        <v>16.691046359639028</v>
      </c>
      <c r="L34" s="163">
        <f>+(('Income - Historical'!I31/'Income - Historical'!I21)^0.1-1)*100</f>
        <v>13.707297089605763</v>
      </c>
      <c r="M34" s="166">
        <v>0.69390696308948563</v>
      </c>
      <c r="N34" s="167">
        <v>19.35742692469049</v>
      </c>
      <c r="O34" s="163">
        <f>+(('Income - Historical'!M31/'Income - Historical'!M21)^0.1-1)*100</f>
        <v>15.583211367628746</v>
      </c>
      <c r="P34" s="166">
        <v>-2.5179856115107979</v>
      </c>
      <c r="Q34" s="167">
        <v>12.112896255764305</v>
      </c>
      <c r="R34" s="163">
        <f>+(('Income - Historical'!V31/'Income - Historical'!V21)^0.1-1)*100</f>
        <v>11.408453673346752</v>
      </c>
      <c r="S34" s="162"/>
      <c r="T34" s="167">
        <f>(('Cash Flow'!O31/'Cash Flow'!O26)^0.2-1)*100</f>
        <v>33.728022000305621</v>
      </c>
      <c r="U34" s="163">
        <f>(('Cash Flow'!O31/'Cash Flow'!O21)^0.1-1)*100</f>
        <v>13.201542990957037</v>
      </c>
      <c r="V34" s="161">
        <v>14.285714285714279</v>
      </c>
      <c r="W34" s="162">
        <v>20.644945032884255</v>
      </c>
      <c r="X34" s="163">
        <f>+(('Income - Historical'!X31/'Income - Historical'!X21)^0.1-1)*100</f>
        <v>18.461510283199001</v>
      </c>
      <c r="Y34" s="166">
        <v>8.0000000000000071</v>
      </c>
      <c r="Z34" s="162">
        <v>12.203911155591474</v>
      </c>
      <c r="AA34" s="163">
        <f>+(('Income - Historical'!Y31/'Income - Historical'!Y21)^0.1-1)*100</f>
        <v>18.156288956552146</v>
      </c>
    </row>
    <row r="35" spans="1:29" ht="15" x14ac:dyDescent="0.2">
      <c r="A35" s="170">
        <v>1989</v>
      </c>
      <c r="B35" s="161">
        <v>16.679221917333003</v>
      </c>
      <c r="C35" s="162">
        <v>8.91735418009171</v>
      </c>
      <c r="D35" s="163">
        <v>4.6292066392568909</v>
      </c>
      <c r="E35" s="166">
        <v>4.5</v>
      </c>
      <c r="F35" s="162">
        <f t="shared" si="0"/>
        <v>17.93560696325142</v>
      </c>
      <c r="G35" s="161">
        <v>22.43560696325142</v>
      </c>
      <c r="H35" s="162">
        <v>18.475574715495679</v>
      </c>
      <c r="I35" s="163">
        <f>+(('Income - Historical'!B32/'Income - Historical'!B22)^0.1-1)*100</f>
        <v>16.536593423483879</v>
      </c>
      <c r="J35" s="166">
        <v>31.24647490129724</v>
      </c>
      <c r="K35" s="167">
        <v>18.287114299983642</v>
      </c>
      <c r="L35" s="163">
        <f>+(('Income - Historical'!I32/'Income - Historical'!I22)^0.1-1)*100</f>
        <v>18.861273618761576</v>
      </c>
      <c r="M35" s="166">
        <v>21.667682684407239</v>
      </c>
      <c r="N35" s="167">
        <v>17.186781063029819</v>
      </c>
      <c r="O35" s="163">
        <f>+(('Income - Historical'!M32/'Income - Historical'!M22)^0.1-1)*100</f>
        <v>20.898217375189798</v>
      </c>
      <c r="P35" s="166">
        <v>19.188191881918804</v>
      </c>
      <c r="Q35" s="167">
        <v>12.656564723122511</v>
      </c>
      <c r="R35" s="163">
        <f>+(('Income - Historical'!V32/'Income - Historical'!V22)^0.1-1)*100</f>
        <v>16.357509571154026</v>
      </c>
      <c r="S35" s="162">
        <f>('Cash Flow'!O32/'Cash Flow'!O31-1)*100</f>
        <v>27.690704942701672</v>
      </c>
      <c r="T35" s="167">
        <f>(('Cash Flow'!O32/'Cash Flow'!O27)^0.2-1)*100</f>
        <v>16.592485205491926</v>
      </c>
      <c r="U35" s="163">
        <f>(('Cash Flow'!O32/'Cash Flow'!O22)^0.1-1)*100</f>
        <v>19.61358128695494</v>
      </c>
      <c r="V35" s="161">
        <v>15.625</v>
      </c>
      <c r="W35" s="162">
        <v>20.308173567809828</v>
      </c>
      <c r="X35" s="163">
        <f>+(('Income - Historical'!X32/'Income - Historical'!X22)^0.1-1)*100</f>
        <v>17.589640953578357</v>
      </c>
      <c r="Y35" s="166">
        <v>26.262626262626256</v>
      </c>
      <c r="Z35" s="162">
        <v>19.021747690110224</v>
      </c>
      <c r="AA35" s="163">
        <f>+(('Income - Historical'!Y32/'Income - Historical'!Y22)^0.1-1)*100</f>
        <v>23.346645660880959</v>
      </c>
    </row>
    <row r="36" spans="1:29" ht="15" x14ac:dyDescent="0.2">
      <c r="A36" s="172">
        <v>1990</v>
      </c>
      <c r="B36" s="173">
        <v>16.456554329134761</v>
      </c>
      <c r="C36" s="174">
        <v>7.8998809506312551</v>
      </c>
      <c r="D36" s="175">
        <v>4.0142418318905335</v>
      </c>
      <c r="E36" s="178">
        <v>-1.5</v>
      </c>
      <c r="F36" s="174">
        <f t="shared" si="0"/>
        <v>11.282708444893551</v>
      </c>
      <c r="G36" s="173">
        <v>9.7827084448935508</v>
      </c>
      <c r="H36" s="174">
        <v>17.85111269888413</v>
      </c>
      <c r="I36" s="175">
        <f>+(('Income - Historical'!B33/'Income - Historical'!B23)^0.1-1)*100</f>
        <v>16.86042624240438</v>
      </c>
      <c r="J36" s="178">
        <v>-2.7435369687648481</v>
      </c>
      <c r="K36" s="179">
        <v>12.663311493454032</v>
      </c>
      <c r="L36" s="175">
        <f>+(('Income - Historical'!I33/'Income - Historical'!I23)^0.1-1)*100</f>
        <v>16.887602990924488</v>
      </c>
      <c r="M36" s="178">
        <v>-4.801324503311255</v>
      </c>
      <c r="N36" s="179">
        <v>12.739409687737901</v>
      </c>
      <c r="O36" s="175">
        <f>+(('Income - Historical'!M33/'Income - Historical'!M23)^0.1-1)*100</f>
        <v>17.935913045626116</v>
      </c>
      <c r="P36" s="178">
        <v>-9.287925696594435</v>
      </c>
      <c r="Q36" s="179">
        <v>7.5096605404550987</v>
      </c>
      <c r="R36" s="175">
        <f>+(('Income - Historical'!V33/'Income - Historical'!V23)^0.1-1)*100</f>
        <v>13.041241060332066</v>
      </c>
      <c r="S36" s="173">
        <f>('Cash Flow'!O33/'Cash Flow'!O32-1)*100</f>
        <v>19.424903908912896</v>
      </c>
      <c r="T36" s="179">
        <f>(('Cash Flow'!O33/'Cash Flow'!O28)^0.2-1)*100</f>
        <v>20.247837368811638</v>
      </c>
      <c r="U36" s="175">
        <f>(('Cash Flow'!O33/'Cash Flow'!O23)^0.1-1)*100</f>
        <v>13.418684480967325</v>
      </c>
      <c r="V36" s="173">
        <v>13.513513513513509</v>
      </c>
      <c r="W36" s="174">
        <v>20.284771859451034</v>
      </c>
      <c r="X36" s="175">
        <f>+(('Income - Historical'!X33/'Income - Historical'!X23)^0.1-1)*100</f>
        <v>17.29539701226399</v>
      </c>
      <c r="Y36" s="178">
        <v>-12</v>
      </c>
      <c r="Z36" s="174">
        <v>3.5635273923151134</v>
      </c>
      <c r="AA36" s="175">
        <f>+(('Income - Historical'!Y33/'Income - Historical'!Y23)^0.1-1)*100</f>
        <v>20.529783475457151</v>
      </c>
    </row>
    <row r="37" spans="1:29" ht="15" x14ac:dyDescent="0.2">
      <c r="A37" s="170">
        <v>1991</v>
      </c>
      <c r="B37" s="161">
        <f>+'Income - Historical'!C34/+'Income - Historical'!B34*100</f>
        <v>16.480919170491152</v>
      </c>
      <c r="C37" s="162">
        <f>+'Income - Historical'!I34/'Income - Historical'!B34*100</f>
        <v>7.0342794023173365</v>
      </c>
      <c r="D37" s="163">
        <f>+'Income - Historical'!M34/'Income - Historical'!B34*100</f>
        <v>3.6411870462034766</v>
      </c>
      <c r="E37" s="166">
        <v>-5</v>
      </c>
      <c r="F37" s="162">
        <f>+G37-E37</f>
        <v>4.3772872911124487</v>
      </c>
      <c r="G37" s="161">
        <f>+(('Income - Historical'!B34/'Income - Historical'!B33)-1)*100</f>
        <v>-0.6227127088875517</v>
      </c>
      <c r="H37" s="162">
        <f>+(('Income - Historical'!B34/'Income - Historical'!B29)^0.2-1)*100</f>
        <v>13.057672340761361</v>
      </c>
      <c r="I37" s="163">
        <f>+(('Income - Historical'!B34/'Income - Historical'!B24)^0.1-1)*100</f>
        <v>15.210262676592535</v>
      </c>
      <c r="J37" s="166">
        <v>-11.511627906976752</v>
      </c>
      <c r="K37" s="167">
        <v>3.3565631589404843</v>
      </c>
      <c r="L37" s="163">
        <f>+(('Income - Historical'!I34/'Income - Historical'!I24)^0.1-1)*100</f>
        <v>12.435254540901397</v>
      </c>
      <c r="M37" s="166">
        <f>+('Income - Historical'!M34/'Income - Historical'!M33-1)*100</f>
        <v>-9.8581235697940528</v>
      </c>
      <c r="N37" s="167">
        <f>+(('Income - Historical'!M34/'Income - Historical'!M29)^0.2-1)*100</f>
        <v>2.6429601978328776</v>
      </c>
      <c r="O37" s="163">
        <f>+(('Income - Historical'!M34/'Income - Historical'!M24)^0.1-1)*100</f>
        <v>12.666061071869294</v>
      </c>
      <c r="P37" s="166">
        <v>-6.8259385665528916</v>
      </c>
      <c r="Q37" s="167">
        <f>+(('Income - Historical'!V34/'Income - Historical'!V29)^0.2-1)*100</f>
        <v>1.4532084424458747</v>
      </c>
      <c r="R37" s="163">
        <f>+(('Income - Historical'!V34/'Income - Historical'!V24)^0.1-1)*100</f>
        <v>7.6190453206883113</v>
      </c>
      <c r="S37" s="162">
        <f>('Cash Flow'!O34/'Cash Flow'!O33-1)*100</f>
        <v>32.837407013815103</v>
      </c>
      <c r="T37" s="234">
        <f>(('Cash Flow'!O34/'Cash Flow'!O29)^0.2-1)*100</f>
        <v>16.882926859344892</v>
      </c>
      <c r="U37" s="163">
        <f>(('Cash Flow'!O34/'Cash Flow'!O24)^0.1-1)*100</f>
        <v>18.743771865275338</v>
      </c>
      <c r="V37" s="167">
        <f>+('Income - Historical'!X34/'Income - Historical'!X33-1)*100</f>
        <v>2.3809523809523725</v>
      </c>
      <c r="W37" s="162">
        <f>+(('Income - Historical'!X34/'Income - Historical'!X29)^0.2-1)*100</f>
        <v>16.543402167042554</v>
      </c>
      <c r="X37" s="163">
        <f>+(('Income - Historical'!X34/'Income - Historical'!X24)^0.1-1)*100</f>
        <v>15.703593010346783</v>
      </c>
      <c r="Y37" s="167">
        <f>+('Income - Historical'!Y34/'Income - Historical'!Y33-1)*100</f>
        <v>43.333333333333357</v>
      </c>
      <c r="Z37" s="162">
        <f>+(('Income - Historical'!Y34/'Income - Historical'!Y29)^0.2-1)*100</f>
        <v>7.9943547125127301</v>
      </c>
      <c r="AA37" s="163">
        <f>+(('Income - Historical'!Y34/'Income - Historical'!Y24)^0.1-1)*100</f>
        <v>17.789704248726459</v>
      </c>
    </row>
    <row r="38" spans="1:29" ht="15" x14ac:dyDescent="0.2">
      <c r="A38" s="170">
        <v>1992</v>
      </c>
      <c r="B38" s="161">
        <f>+'Income - Historical'!C35/+'Income - Historical'!B35*100</f>
        <v>18.035841522239483</v>
      </c>
      <c r="C38" s="162">
        <f>+'Income - Historical'!I35/'Income - Historical'!B35*100</f>
        <v>9.0218934698919924</v>
      </c>
      <c r="D38" s="163">
        <f>+'Income - Historical'!M35/'Income - Historical'!B35*100</f>
        <v>5.3370992903802348</v>
      </c>
      <c r="E38" s="166">
        <v>9</v>
      </c>
      <c r="F38" s="162">
        <f t="shared" si="0"/>
        <v>-0.80649723389209171</v>
      </c>
      <c r="G38" s="161">
        <f>+(('Income - Historical'!B35/'Income - Historical'!B34)-1)*100</f>
        <v>8.1935027661079083</v>
      </c>
      <c r="H38" s="162">
        <f>+(('Income - Historical'!B35/'Income - Historical'!B30)^0.2-1)*100</f>
        <v>12.510102921155418</v>
      </c>
      <c r="I38" s="163">
        <f>+(('Income - Historical'!B35/'Income - Historical'!B25)^0.1-1)*100</f>
        <v>15.587306682357527</v>
      </c>
      <c r="J38" s="166">
        <v>38.764783180026271</v>
      </c>
      <c r="K38" s="167">
        <v>8.4127040988680957</v>
      </c>
      <c r="L38" s="163">
        <f>+(('Income - Historical'!I35/'Income - Historical'!I25)^0.1-1)*100</f>
        <v>18.791290138074434</v>
      </c>
      <c r="M38" s="166">
        <f>+('Income - Historical'!M35/'Income - Historical'!M34-1)*100</f>
        <v>58.58549959382615</v>
      </c>
      <c r="N38" s="167">
        <f>+(('Income - Historical'!M35/'Income - Historical'!M30)^0.2-1)*100</f>
        <v>10.764318738426004</v>
      </c>
      <c r="O38" s="163">
        <f>+(('Income - Historical'!M35/'Income - Historical'!M25)^0.1-1)*100</f>
        <v>21.202215997022613</v>
      </c>
      <c r="P38" s="166">
        <v>49.450549450549431</v>
      </c>
      <c r="Q38" s="167">
        <f>+(('Income - Historical'!V35/'Income - Historical'!V30)^0.2-1)*100</f>
        <v>7.9749653706988388</v>
      </c>
      <c r="R38" s="163">
        <f>+(('Income - Historical'!V35/'Income - Historical'!V25)^0.1-1)*100</f>
        <v>14.428822714477075</v>
      </c>
      <c r="S38" s="162">
        <f>('Cash Flow'!O35/'Cash Flow'!O34-1)*100</f>
        <v>11.0857142857143</v>
      </c>
      <c r="T38" s="167">
        <f>(('Cash Flow'!O35/'Cash Flow'!O30)^0.2-1)*100</f>
        <v>20.768093289101252</v>
      </c>
      <c r="U38" s="163">
        <f>(('Cash Flow'!O35/'Cash Flow'!O25)^0.1-1)*100</f>
        <v>21.295507306639827</v>
      </c>
      <c r="V38" s="167">
        <f>+('Income - Historical'!X35/'Income - Historical'!X34-1)*100</f>
        <v>6.976744186046524</v>
      </c>
      <c r="W38" s="162">
        <f>+(('Income - Historical'!X35/'Income - Historical'!X30)^0.2-1)*100</f>
        <v>10.438362870438155</v>
      </c>
      <c r="X38" s="163">
        <f>+(('Income - Historical'!X35/'Income - Historical'!X25)^0.1-1)*100</f>
        <v>15.051196742302153</v>
      </c>
      <c r="Y38" s="167">
        <f>+('Income - Historical'!Y35/'Income - Historical'!Y34-1)*100</f>
        <v>79.704016913319236</v>
      </c>
      <c r="Z38" s="162">
        <f>+(('Income - Historical'!Y35/'Income - Historical'!Y30)^0.2-1)*100</f>
        <v>25.319093973218145</v>
      </c>
      <c r="AA38" s="163">
        <f>+(('Income - Historical'!Y35/'Income - Historical'!Y25)^0.1-1)*100</f>
        <v>23.027872758119127</v>
      </c>
    </row>
    <row r="39" spans="1:29" ht="15" x14ac:dyDescent="0.2">
      <c r="A39" s="186">
        <v>1993</v>
      </c>
      <c r="B39" s="161">
        <f>+'Income - Historical'!C36/+'Income - Historical'!B36*100</f>
        <v>18.621864151437741</v>
      </c>
      <c r="C39" s="162">
        <f>+'Income - Historical'!I36/'Income - Historical'!B36*100</f>
        <v>9.9037138927097637</v>
      </c>
      <c r="D39" s="163">
        <f>+'Income - Historical'!M36/'Income - Historical'!B36*100</f>
        <v>5.6265147049191073</v>
      </c>
      <c r="E39" s="166">
        <v>11</v>
      </c>
      <c r="F39" s="162">
        <f t="shared" si="0"/>
        <v>19.432999625796462</v>
      </c>
      <c r="G39" s="161">
        <f>+(('Income - Historical'!B36/'Income - Historical'!B35)-1)*100</f>
        <v>30.432999625796462</v>
      </c>
      <c r="H39" s="162">
        <f>+(('Income - Historical'!B36/'Income - Historical'!B31)^0.2-1)*100</f>
        <v>13.517677229020908</v>
      </c>
      <c r="I39" s="163">
        <f>+(('Income - Historical'!B36/'Income - Historical'!B26)^0.1-1)*100</f>
        <v>15.735856341041243</v>
      </c>
      <c r="J39" s="166">
        <v>43.181818181818187</v>
      </c>
      <c r="K39" s="167">
        <v>17.54709259979521</v>
      </c>
      <c r="L39" s="163">
        <f>+(('Income - Historical'!I36/'Income - Historical'!I26)^0.1-1)*100</f>
        <v>17.118287350880792</v>
      </c>
      <c r="M39" s="166">
        <f>+('Income - Historical'!M36/'Income - Historical'!M35-1)*100</f>
        <v>37.506002881383083</v>
      </c>
      <c r="N39" s="167">
        <f>+(('Income - Historical'!M36/'Income - Historical'!M31)^0.2-1)*100</f>
        <v>17.886364278800215</v>
      </c>
      <c r="O39" s="163">
        <f>+(('Income - Historical'!M36/'Income - Historical'!M26)^0.1-1)*100</f>
        <v>18.619615198433092</v>
      </c>
      <c r="P39" s="166">
        <v>28.186274509803933</v>
      </c>
      <c r="Q39" s="167">
        <f>+(('Income - Historical'!V36/'Income - Historical'!V31)^0.2-1)*100</f>
        <v>14.052938638153112</v>
      </c>
      <c r="R39" s="163">
        <f>+(('Income - Historical'!V36/'Income - Historical'!V26)^0.1-1)*100</f>
        <v>13.078756967010886</v>
      </c>
      <c r="S39" s="162">
        <f>('Cash Flow'!O36/'Cash Flow'!O35-1)*100</f>
        <v>49.89711934156378</v>
      </c>
      <c r="T39" s="167">
        <f>(('Cash Flow'!O36/'Cash Flow'!O31)^0.2-1)*100</f>
        <v>27.527901897186347</v>
      </c>
      <c r="U39" s="163">
        <f>(('Cash Flow'!O36/'Cash Flow'!O26)^0.1-1)*100</f>
        <v>30.591171487814407</v>
      </c>
      <c r="V39" s="167">
        <f>+('Income - Historical'!X36/'Income - Historical'!X35-1)*100</f>
        <v>17.391304347826097</v>
      </c>
      <c r="W39" s="162">
        <f>+(('Income - Historical'!X36/'Income - Historical'!X31)^0.2-1)*100</f>
        <v>11.032151746146003</v>
      </c>
      <c r="X39" s="163">
        <f>+(('Income - Historical'!X36/'Income - Historical'!X26)^0.1-1)*100</f>
        <v>15.738791441316891</v>
      </c>
      <c r="Y39" s="167">
        <f>+('Income - Historical'!Y36/'Income - Historical'!Y35-1)*100</f>
        <v>47.058823529411775</v>
      </c>
      <c r="Z39" s="162">
        <f>+(('Income - Historical'!Y36/'Income - Historical'!Y31)^0.2-1)*100</f>
        <v>33.300172903829782</v>
      </c>
      <c r="AA39" s="163">
        <f>+(('Income - Historical'!Y36/'Income - Historical'!Y26)^0.1-1)*100</f>
        <v>22.297999809998093</v>
      </c>
    </row>
    <row r="40" spans="1:29" ht="15" x14ac:dyDescent="0.2">
      <c r="A40" s="170">
        <v>1994</v>
      </c>
      <c r="B40" s="161">
        <f>+'Income - Historical'!C37/+'Income - Historical'!B37*100</f>
        <v>18.83644583176363</v>
      </c>
      <c r="C40" s="162">
        <f>+'Income - Historical'!I37/'Income - Historical'!B37*100</f>
        <v>10.726010440772834</v>
      </c>
      <c r="D40" s="163">
        <f>+'Income - Historical'!M37/'Income - Historical'!B37*100</f>
        <v>6.2106452828157801</v>
      </c>
      <c r="E40" s="166">
        <v>10.3</v>
      </c>
      <c r="F40" s="162">
        <f t="shared" si="0"/>
        <v>11.406949629920724</v>
      </c>
      <c r="G40" s="161">
        <f>+(('Income - Historical'!B37/'Income - Historical'!B36)-1)*100</f>
        <v>21.706949629920725</v>
      </c>
      <c r="H40" s="162">
        <f>+(('Income - Historical'!B37/'Income - Historical'!B32)^0.2-1)*100</f>
        <v>13.382237705059374</v>
      </c>
      <c r="I40" s="163">
        <f>+(('Income - Historical'!B37/'Income - Historical'!B27)^0.1-1)*100</f>
        <v>15.900930861817741</v>
      </c>
      <c r="J40" s="166">
        <v>31.812169312169324</v>
      </c>
      <c r="K40" s="167">
        <v>17.648247904440485</v>
      </c>
      <c r="L40" s="163">
        <f>+(('Income - Historical'!I37/'Income - Historical'!I27)^0.1-1)*100</f>
        <v>17.967248620391942</v>
      </c>
      <c r="M40" s="166">
        <f>+('Income - Historical'!M37/'Income - Historical'!M36-1)*100</f>
        <v>34.342258440046571</v>
      </c>
      <c r="N40" s="167">
        <f>+(('Income - Historical'!M37/'Income - Historical'!M32)^0.2-1)*100</f>
        <v>20.246115503041363</v>
      </c>
      <c r="O40" s="163">
        <f>+(('Income - Historical'!M37/'Income - Historical'!M27)^0.1-1)*100</f>
        <v>18.706592955634527</v>
      </c>
      <c r="P40" s="166">
        <v>32.88718929254302</v>
      </c>
      <c r="Q40" s="167">
        <f>+(('Income - Historical'!V37/'Income - Historical'!V32)^0.2-1)*100</f>
        <v>16.561856648855809</v>
      </c>
      <c r="R40" s="163">
        <f>+(('Income - Historical'!V37/'Income - Historical'!V27)^0.1-1)*100</f>
        <v>14.592575448015621</v>
      </c>
      <c r="S40" s="162">
        <f>('Cash Flow'!O37/'Cash Flow'!O36-1)*100</f>
        <v>18.737131091283477</v>
      </c>
      <c r="T40" s="167">
        <f>(('Cash Flow'!O37/'Cash Flow'!O32)^0.2-1)*100</f>
        <v>25.68708907279067</v>
      </c>
      <c r="U40" s="163">
        <f>(('Cash Flow'!O37/'Cash Flow'!O27)^0.1-1)*100</f>
        <v>21.05440955719331</v>
      </c>
      <c r="V40" s="167">
        <f>+('Income - Historical'!X37/'Income - Historical'!X36-1)*100</f>
        <v>14.814814814814813</v>
      </c>
      <c r="W40" s="162">
        <f>+(('Income - Historical'!X37/'Income - Historical'!X32)^0.2-1)*100</f>
        <v>10.876113172684065</v>
      </c>
      <c r="X40" s="163">
        <f>+(('Income - Historical'!X37/'Income - Historical'!X27)^0.1-1)*100</f>
        <v>15.495898923309825</v>
      </c>
      <c r="Y40" s="167">
        <f>+('Income - Historical'!Y37/'Income - Historical'!Y36-1)*100</f>
        <v>-30.000000000000004</v>
      </c>
      <c r="Z40" s="162">
        <f>+(('Income - Historical'!Y37/'Income - Historical'!Y32)^0.2-1)*100</f>
        <v>18.466445254224407</v>
      </c>
      <c r="AA40" s="163">
        <f>+(('Income - Historical'!Y37/'Income - Historical'!Y27)^0.1-1)*100</f>
        <v>18.743771865275338</v>
      </c>
    </row>
    <row r="41" spans="1:29" ht="15" x14ac:dyDescent="0.2">
      <c r="A41" s="172">
        <v>1995</v>
      </c>
      <c r="B41" s="173">
        <f>+'Income - Historical'!C38/+'Income - Historical'!B38*100</f>
        <v>19.696013208371777</v>
      </c>
      <c r="C41" s="174">
        <f>+'Income - Historical'!I38/'Income - Historical'!B38*100</f>
        <v>11.275676200650706</v>
      </c>
      <c r="D41" s="175">
        <f>+'Income - Historical'!M38/'Income - Historical'!B38*100</f>
        <v>6.5507696790171419</v>
      </c>
      <c r="E41" s="178">
        <v>1.8</v>
      </c>
      <c r="F41" s="174">
        <f t="shared" si="0"/>
        <v>9.0282654324309828</v>
      </c>
      <c r="G41" s="173">
        <f>+(('Income - Historical'!B38/'Income - Historical'!B37)-1)*100</f>
        <v>10.828265432430983</v>
      </c>
      <c r="H41" s="174">
        <f>+(('Income - Historical'!B38/'Income - Historical'!B33)^0.2-1)*100</f>
        <v>13.597387327604116</v>
      </c>
      <c r="I41" s="175">
        <f>+(('Income - Historical'!B38/'Income - Historical'!B28)^0.1-1)*100</f>
        <v>15.704703863949554</v>
      </c>
      <c r="J41" s="178">
        <v>16.507777220270924</v>
      </c>
      <c r="K41" s="179">
        <v>21.975540946693471</v>
      </c>
      <c r="L41" s="175">
        <f>+(('Income - Historical'!I38/'Income - Historical'!I28)^0.1-1)*100</f>
        <v>17.226995032116577</v>
      </c>
      <c r="M41" s="178">
        <f>+('Income - Historical'!M38/'Income - Historical'!M37-1)*100</f>
        <v>16.897746967071047</v>
      </c>
      <c r="N41" s="179">
        <f>+(('Income - Historical'!M38/'Income - Historical'!M33)^0.2-1)*100</f>
        <v>25.287026647121301</v>
      </c>
      <c r="O41" s="175">
        <f>+(('Income - Historical'!M38/'Income - Historical'!M28)^0.1-1)*100</f>
        <v>18.84774051587328</v>
      </c>
      <c r="P41" s="178">
        <v>14.388489208633114</v>
      </c>
      <c r="Q41" s="179">
        <f>+(('Income - Historical'!V38/'Income - Historical'!V33)^0.2-1)*100</f>
        <v>22.09556858288131</v>
      </c>
      <c r="R41" s="175">
        <f>+(('Income - Historical'!V38/'Income - Historical'!V28)^0.1-1)*100</f>
        <v>14.570734185652423</v>
      </c>
      <c r="S41" s="173">
        <f>('Cash Flow'!O38/'Cash Flow'!O37-1)*100</f>
        <v>17.456647398843916</v>
      </c>
      <c r="T41" s="179">
        <f>(('Cash Flow'!O38/'Cash Flow'!O33)^0.2-1)*100</f>
        <v>25.27003767399809</v>
      </c>
      <c r="U41" s="175">
        <f>(('Cash Flow'!O38/'Cash Flow'!O28)^0.1-1)*100</f>
        <v>22.733251881500436</v>
      </c>
      <c r="V41" s="178">
        <f>+('Income - Historical'!X38/'Income - Historical'!X37-1)*100</f>
        <v>22.580645161290324</v>
      </c>
      <c r="W41" s="174">
        <f>+(('Income - Historical'!X38/'Income - Historical'!X33)^0.2-1)*100</f>
        <v>12.593380967869239</v>
      </c>
      <c r="X41" s="175">
        <f>+(('Income - Historical'!X38/'Income - Historical'!X28)^0.1-1)*100</f>
        <v>16.375552168848607</v>
      </c>
      <c r="Y41" s="178">
        <f>+('Income - Historical'!Y38/'Income - Historical'!Y37-1)*100</f>
        <v>38.628571428571433</v>
      </c>
      <c r="Z41" s="174">
        <f>+(('Income - Historical'!Y38/'Income - Historical'!Y33)^0.2-1)*100</f>
        <v>29.738649296850351</v>
      </c>
      <c r="AA41" s="175">
        <f>+(('Income - Historical'!Y38/'Income - Historical'!Y28)^0.1-1)*100</f>
        <v>15.914589937144363</v>
      </c>
    </row>
    <row r="42" spans="1:29" ht="15" x14ac:dyDescent="0.2">
      <c r="A42" s="170">
        <v>1996</v>
      </c>
      <c r="B42" s="161">
        <f>+'Income - Historical'!C39/+'Income - Historical'!B39*100</f>
        <v>21.166166572054173</v>
      </c>
      <c r="C42" s="162">
        <f>+'Income - Historical'!I39/'Income - Historical'!B39*100</f>
        <v>12.419917281647882</v>
      </c>
      <c r="D42" s="163">
        <f>+'Income - Historical'!M39/'Income - Historical'!B39*100</f>
        <v>6.8688670829616427</v>
      </c>
      <c r="E42" s="166">
        <v>1.1000000000000001</v>
      </c>
      <c r="F42" s="162">
        <f>+G42-E42</f>
        <v>18.659141455834483</v>
      </c>
      <c r="G42" s="161">
        <f>+(('Income - Historical'!B39/'Income - Historical'!B38)-1)*100</f>
        <v>19.759141455834484</v>
      </c>
      <c r="H42" s="162">
        <f>+(('Income - Historical'!B39/'Income - Historical'!B34)^0.2-1)*100</f>
        <v>17.915976054833216</v>
      </c>
      <c r="I42" s="163">
        <f>+(('Income - Historical'!B39/'Income - Historical'!B29)^0.1-1)*100</f>
        <v>15.46127396035606</v>
      </c>
      <c r="J42" s="166">
        <v>31.912144702842383</v>
      </c>
      <c r="K42" s="167">
        <v>32.115103097266044</v>
      </c>
      <c r="L42" s="163">
        <f>+(('Income - Historical'!I39/'Income - Historical'!I29)^0.1-1)*100</f>
        <v>16.854452193840295</v>
      </c>
      <c r="M42" s="166">
        <f>+('Income - Historical'!M39/'Income - Historical'!M38-1)*100</f>
        <v>25.574499629355074</v>
      </c>
      <c r="N42" s="167">
        <f>+(('Income - Historical'!M39/'Income - Historical'!M34)^0.2-1)*100</f>
        <v>33.875490473830894</v>
      </c>
      <c r="O42" s="163">
        <f>+(('Income - Historical'!M39/'Income - Historical'!M29)^0.1-1)*100</f>
        <v>17.223618098789206</v>
      </c>
      <c r="P42" s="166">
        <v>16.35220125786163</v>
      </c>
      <c r="Q42" s="167">
        <f>+(('Income - Historical'!V39/'Income - Historical'!V34)^0.2-1)*100</f>
        <v>27.642651498817415</v>
      </c>
      <c r="R42" s="163">
        <f>+(('Income - Historical'!V39/'Income - Historical'!V29)^0.1-1)*100</f>
        <v>13.796997010712019</v>
      </c>
      <c r="S42" s="162">
        <f>('Cash Flow'!O39/'Cash Flow'!O38-1)*100</f>
        <v>17.175196850393704</v>
      </c>
      <c r="T42" s="167">
        <f>(('Cash Flow'!O39/'Cash Flow'!O34)^0.2-1)*100</f>
        <v>22.165975859531063</v>
      </c>
      <c r="U42" s="163">
        <f>(('Cash Flow'!O39/'Cash Flow'!O29)^0.1-1)*100</f>
        <v>19.495258571585428</v>
      </c>
      <c r="V42" s="167">
        <f>+('Income - Historical'!X39/'Income - Historical'!X38-1)*100</f>
        <v>21.052631578947366</v>
      </c>
      <c r="W42" s="162">
        <f>+(('Income - Historical'!X39/'Income - Historical'!X34)^0.2-1)*100</f>
        <v>16.429725715723919</v>
      </c>
      <c r="X42" s="163">
        <f>+(('Income - Historical'!X39/'Income - Historical'!X29)^0.1-1)*100</f>
        <v>16.486550074616211</v>
      </c>
      <c r="Y42" s="167">
        <f>+('Income - Historical'!Y39/'Income - Historical'!Y38-1)*100</f>
        <v>42.704039571310773</v>
      </c>
      <c r="Z42" s="162">
        <f>+(('Income - Historical'!Y39/'Income - Historical'!Y34)^0.2-1)*100</f>
        <v>29.624527229354602</v>
      </c>
      <c r="AA42" s="163">
        <f>+(('Income - Historical'!Y39/'Income - Historical'!Y29)^0.1-1)*100</f>
        <v>18.316174604526015</v>
      </c>
    </row>
    <row r="43" spans="1:29" ht="15" x14ac:dyDescent="0.2">
      <c r="A43" s="170">
        <v>1997</v>
      </c>
      <c r="B43" s="161">
        <f>+'Income - Historical'!C40/+'Income - Historical'!B40*100</f>
        <v>21.356386635501167</v>
      </c>
      <c r="C43" s="162">
        <f>+'Income - Historical'!I40/'Income - Historical'!B40*100</f>
        <v>12.549841880929465</v>
      </c>
      <c r="D43" s="163">
        <f>+'Income - Historical'!M40/'Income - Historical'!B40*100</f>
        <v>7.160043998350063</v>
      </c>
      <c r="E43" s="166">
        <v>5.3</v>
      </c>
      <c r="F43" s="162">
        <f t="shared" ref="F43:F44" si="1">+G43-E43</f>
        <v>12.662857837969337</v>
      </c>
      <c r="G43" s="161">
        <f>+(('Income - Historical'!B40/'Income - Historical'!B39)-1)*100</f>
        <v>17.962857837969338</v>
      </c>
      <c r="H43" s="162">
        <f>+(('Income - Historical'!B40/'Income - Historical'!B35)^0.2-1)*100</f>
        <v>19.972434322237319</v>
      </c>
      <c r="I43" s="163">
        <f>+(('Income - Historical'!B40/'Income - Historical'!B30)^0.1-1)*100</f>
        <v>16.181370853060951</v>
      </c>
      <c r="J43" s="166">
        <v>19.196865817825671</v>
      </c>
      <c r="K43" s="167">
        <v>28.159139555350631</v>
      </c>
      <c r="L43" s="163">
        <f>+(('Income - Historical'!I40/'Income - Historical'!I30)^0.1-1)*100</f>
        <v>17.873147383870979</v>
      </c>
      <c r="M43" s="166">
        <f>+('Income - Historical'!M40/'Income - Historical'!M39-1)*100</f>
        <v>22.963400236127505</v>
      </c>
      <c r="N43" s="167">
        <f>+(('Income - Historical'!M40/'Income - Historical'!M35)^0.2-1)*100</f>
        <v>27.234108982835579</v>
      </c>
      <c r="O43" s="163">
        <f>+(('Income - Historical'!M40/'Income - Historical'!M30)^0.1-1)*100</f>
        <v>18.713939374339827</v>
      </c>
      <c r="P43" s="166">
        <v>16.756756756756765</v>
      </c>
      <c r="Q43" s="167">
        <f>+(('Income - Historical'!V40/'Income - Historical'!V35)^0.2-1)*100</f>
        <v>21.493409089334857</v>
      </c>
      <c r="R43" s="163">
        <f>+(('Income - Historical'!V40/'Income - Historical'!V30)^0.1-1)*100</f>
        <v>14.534914498545293</v>
      </c>
      <c r="S43" s="162">
        <f>('Cash Flow'!O40/'Cash Flow'!O39-1)*100</f>
        <v>21.083578328433461</v>
      </c>
      <c r="T43" s="167">
        <f>(('Cash Flow'!O40/'Cash Flow'!O35)^0.2-1)*100</f>
        <v>24.289853321264498</v>
      </c>
      <c r="U43" s="163">
        <f>(('Cash Flow'!O40/'Cash Flow'!O30)^0.1-1)*100</f>
        <v>22.516319732479651</v>
      </c>
      <c r="V43" s="167">
        <f>+('Income - Historical'!X40/'Income - Historical'!X39-1)*100</f>
        <v>17.391304347826097</v>
      </c>
      <c r="W43" s="162">
        <f>+(('Income - Historical'!X40/'Income - Historical'!X35)^0.2-1)*100</f>
        <v>18.613244273857667</v>
      </c>
      <c r="X43" s="163">
        <f>+(('Income - Historical'!X40/'Income - Historical'!X30)^0.1-1)*100</f>
        <v>14.452839686729547</v>
      </c>
      <c r="Y43" s="167">
        <f>+('Income - Historical'!Y40/'Income - Historical'!Y39-1)*100</f>
        <v>20.970537261698464</v>
      </c>
      <c r="Z43" s="162">
        <f>+(('Income - Historical'!Y40/'Income - Historical'!Y35)^0.2-1)*100</f>
        <v>19.759934642907105</v>
      </c>
      <c r="AA43" s="163">
        <f>+(('Income - Historical'!Y40/'Income - Historical'!Y30)^0.1-1)*100</f>
        <v>22.507985469278434</v>
      </c>
    </row>
    <row r="44" spans="1:29" ht="15" x14ac:dyDescent="0.2">
      <c r="A44" s="170">
        <v>1998</v>
      </c>
      <c r="B44" s="161">
        <f>+'Income - Historical'!C41/+'Income - Historical'!B41*100</f>
        <v>21.872774744837407</v>
      </c>
      <c r="C44" s="162">
        <f>+'Income - Historical'!I41/'Income - Historical'!B41*100</f>
        <v>12.731426536909565</v>
      </c>
      <c r="D44" s="163">
        <f>+'Income - Historical'!M41/'Income - Historical'!B41*100</f>
        <v>7.3581770709708048</v>
      </c>
      <c r="E44" s="166">
        <v>3.7</v>
      </c>
      <c r="F44" s="162">
        <f t="shared" si="1"/>
        <v>12.153155506668504</v>
      </c>
      <c r="G44" s="161">
        <f>+(('Income - Historical'!B41/'Income - Historical'!B40)-1)*100</f>
        <v>15.853155506668504</v>
      </c>
      <c r="H44" s="162">
        <f>+(('Income - Historical'!B41/'Income - Historical'!B36)^0.2-1)*100</f>
        <v>17.161668570501121</v>
      </c>
      <c r="I44" s="163">
        <f>+(('Income - Historical'!B41/'Income - Historical'!B31)^0.1-1)*100</f>
        <v>15.325281167659277</v>
      </c>
      <c r="J44" s="166">
        <v>17.529443987948511</v>
      </c>
      <c r="K44" s="167">
        <v>23.197343903046928</v>
      </c>
      <c r="L44" s="163">
        <f>+(('Income - Historical'!I41/'Income - Historical'!I31)^0.1-1)*100</f>
        <v>20.33906095620106</v>
      </c>
      <c r="M44" s="166">
        <f>+('Income - Historical'!M41/'Income - Historical'!M40-1)*100</f>
        <v>19.059049447911658</v>
      </c>
      <c r="N44" s="167">
        <f>+(('Income - Historical'!M41/'Income - Historical'!M36)^0.2-1)*100</f>
        <v>23.620843733104291</v>
      </c>
      <c r="O44" s="163">
        <f>+(('Income - Historical'!M41/'Income - Historical'!M31)^0.1-1)*100</f>
        <v>20.719558551103766</v>
      </c>
      <c r="P44" s="166">
        <v>14.814814814814813</v>
      </c>
      <c r="Q44" s="167">
        <f>+(('Income - Historical'!V41/'Income - Historical'!V36)^0.2-1)*100</f>
        <v>18.845844017559934</v>
      </c>
      <c r="R44" s="163">
        <f>+(('Income - Historical'!V41/'Income - Historical'!V31)^0.1-1)*100</f>
        <v>16.424729998116284</v>
      </c>
      <c r="S44" s="162">
        <f>('Cash Flow'!O41/'Cash Flow'!O40-1)*100</f>
        <v>23.100936524453687</v>
      </c>
      <c r="T44" s="167">
        <f>(('Cash Flow'!O41/'Cash Flow'!O36)^0.2-1)*100</f>
        <v>19.48937499923451</v>
      </c>
      <c r="U44" s="163">
        <f>(('Cash Flow'!O41/'Cash Flow'!O31)^0.1-1)*100</f>
        <v>23.44322295151926</v>
      </c>
      <c r="V44" s="167">
        <f>+('Income - Historical'!X41/'Income - Historical'!X40-1)*100</f>
        <v>16.66666666666665</v>
      </c>
      <c r="W44" s="162">
        <f>+(('Income - Historical'!X41/'Income - Historical'!X36)^0.2-1)*100</f>
        <v>18.466445254224407</v>
      </c>
      <c r="X44" s="163">
        <f>+(('Income - Historical'!X41/'Income - Historical'!X31)^0.1-1)*100</f>
        <v>14.689076752293806</v>
      </c>
      <c r="Y44" s="167">
        <f>+('Income - Historical'!Y41/'Income - Historical'!Y40-1)*100</f>
        <v>5.0620821394460336</v>
      </c>
      <c r="Z44" s="162">
        <f>+(('Income - Historical'!Y41/'Income - Historical'!Y36)^0.2-1)*100</f>
        <v>11.970220528043152</v>
      </c>
      <c r="AA44" s="163">
        <f>+(('Income - Historical'!Y41/'Income - Historical'!Y31)^0.1-1)*100</f>
        <v>22.170576475958814</v>
      </c>
    </row>
    <row r="45" spans="1:29" ht="15" x14ac:dyDescent="0.2">
      <c r="A45" s="170">
        <v>1999</v>
      </c>
      <c r="B45" s="161">
        <f>+'Income - Historical'!C42/+'Income - Historical'!B42*100</f>
        <v>23.011378671606241</v>
      </c>
      <c r="C45" s="162">
        <f>+'Income - Historical'!I42/'Income - Historical'!B42*100</f>
        <v>13.297168563111935</v>
      </c>
      <c r="D45" s="163">
        <f>+'Income - Historical'!M42/'Income - Historical'!B42*100</f>
        <v>7.6872188409632187</v>
      </c>
      <c r="E45" s="166">
        <v>3.1</v>
      </c>
      <c r="F45" s="162">
        <f t="shared" si="0"/>
        <v>9.0231901258010989</v>
      </c>
      <c r="G45" s="161">
        <f>+(('Income - Historical'!B42/'Income - Historical'!B41)-1)*100</f>
        <v>12.123190125801099</v>
      </c>
      <c r="H45" s="162">
        <f>+(('Income - Historical'!B42/'Income - Historical'!B37)^0.2-1)*100</f>
        <v>15.255474151586345</v>
      </c>
      <c r="I45" s="163">
        <f>+(('Income - Historical'!B42/'Income - Historical'!B32)^0.1-1)*100</f>
        <v>14.315018991663964</v>
      </c>
      <c r="J45" s="166">
        <v>17.105569797250041</v>
      </c>
      <c r="K45" s="167">
        <v>20.316656152666155</v>
      </c>
      <c r="L45" s="163">
        <f>+(('Income - Historical'!I42/'Income - Historical'!I32)^0.1-1)*100</f>
        <v>18.974971275819996</v>
      </c>
      <c r="M45" s="166">
        <f>+('Income - Historical'!M42/'Income - Historical'!M41-1)*100</f>
        <v>17.137096774193552</v>
      </c>
      <c r="N45" s="167">
        <f>+(('Income - Historical'!M42/'Income - Historical'!M37)^0.2-1)*100</f>
        <v>20.278517234749494</v>
      </c>
      <c r="O45" s="163">
        <f>+(('Income - Historical'!M42/'Income - Historical'!M32)^0.1-1)*100</f>
        <v>20.262315277663934</v>
      </c>
      <c r="P45" s="166">
        <v>16.935483870967751</v>
      </c>
      <c r="Q45" s="167">
        <f>+(('Income - Historical'!V42/'Income - Historical'!V37)^0.2-1)*100</f>
        <v>15.844825452846379</v>
      </c>
      <c r="R45" s="163">
        <f>+(('Income - Historical'!V42/'Income - Historical'!V32)^0.1-1)*100</f>
        <v>16.202787995582966</v>
      </c>
      <c r="S45" s="162">
        <f>('Cash Flow'!O42/'Cash Flow'!O41-1)*100</f>
        <v>4.4801352493660129</v>
      </c>
      <c r="T45" s="167">
        <f>(('Cash Flow'!O42/'Cash Flow'!O37)^0.2-1)*100</f>
        <v>16.47124678451657</v>
      </c>
      <c r="U45" s="163">
        <f>(('Cash Flow'!O42/'Cash Flow'!O32)^0.1-1)*100</f>
        <v>20.991454115670983</v>
      </c>
      <c r="V45" s="167">
        <f>+('Income - Historical'!X42/'Income - Historical'!X41-1)*100</f>
        <v>14.285714285714279</v>
      </c>
      <c r="W45" s="162">
        <f>+(('Income - Historical'!X42/'Income - Historical'!X37)^0.2-1)*100</f>
        <v>18.357057768207685</v>
      </c>
      <c r="X45" s="163">
        <f>+(('Income - Historical'!X42/'Income - Historical'!X32)^0.1-1)*100</f>
        <v>14.555534706506879</v>
      </c>
      <c r="Y45" s="167">
        <f>+('Income - Historical'!Y42/'Income - Historical'!Y41-1)*100</f>
        <v>-2.5454545454545396</v>
      </c>
      <c r="Z45" s="162">
        <f>+(('Income - Historical'!Y42/'Income - Historical'!Y37)^0.2-1)*100</f>
        <v>19.630893277182725</v>
      </c>
      <c r="AA45" s="163">
        <f>+(('Income - Historical'!Y42/'Income - Historical'!Y32)^0.1-1)*100</f>
        <v>19.047245533591962</v>
      </c>
    </row>
    <row r="46" spans="1:29" ht="15" x14ac:dyDescent="0.2">
      <c r="A46" s="172">
        <v>2000</v>
      </c>
      <c r="B46" s="173">
        <f>+'Income - Historical'!C43/+'Income - Historical'!B43*100</f>
        <v>21.333863386572503</v>
      </c>
      <c r="C46" s="174">
        <f>+'Income - Historical'!I43/'Income - Historical'!B43*100</f>
        <v>11.243364590884642</v>
      </c>
      <c r="D46" s="175">
        <f>+'Income - Historical'!M43/'Income - Historical'!B43*100</f>
        <v>6.1758997263989901</v>
      </c>
      <c r="E46" s="178">
        <v>0.2</v>
      </c>
      <c r="F46" s="174">
        <f>+G46-E46</f>
        <v>12.959566022757341</v>
      </c>
      <c r="G46" s="173">
        <f>+(('Income - Historical'!B43/'Income - Historical'!B42)-1)*100</f>
        <v>13.159566022757341</v>
      </c>
      <c r="H46" s="174">
        <f>+(('Income - Historical'!B43/'Income - Historical'!B38)^0.2-1)*100</f>
        <v>15.73633063053428</v>
      </c>
      <c r="I46" s="175">
        <f>+(('Income - Historical'!B43/'Income - Historical'!B33)^0.1-1)*100</f>
        <v>14.661871511468249</v>
      </c>
      <c r="J46" s="178">
        <v>-4.3</v>
      </c>
      <c r="K46" s="179">
        <v>15.7</v>
      </c>
      <c r="L46" s="175">
        <f>+(('Income - Historical'!I43/'Income - Historical'!I33)^0.1-1)*100</f>
        <v>18.780897041483911</v>
      </c>
      <c r="M46" s="178">
        <f>+('Income - Historical'!M43/'Income - Historical'!M42-1)*100</f>
        <v>-9.0877796901893237</v>
      </c>
      <c r="N46" s="179">
        <f>+(('Income - Historical'!M43/'Income - Historical'!M38)^0.2-1)*100</f>
        <v>14.380315542691191</v>
      </c>
      <c r="O46" s="175">
        <f>+(('Income - Historical'!M43/'Income - Historical'!M33)^0.1-1)*100</f>
        <v>19.709521932481611</v>
      </c>
      <c r="P46" s="178">
        <v>-9</v>
      </c>
      <c r="Q46" s="179">
        <f>+(('Income - Historical'!V43/'Income - Historical'!V38)^0.2-1)*100</f>
        <v>10.672917952245363</v>
      </c>
      <c r="R46" s="175">
        <f>+(('Income - Historical'!V43/'Income - Historical'!V33)^0.1-1)*100</f>
        <v>16.244022831739468</v>
      </c>
      <c r="S46" s="173">
        <f>('Cash Flow'!O43/'Cash Flow'!O42-1)*100</f>
        <v>18.878101402373272</v>
      </c>
      <c r="T46" s="179">
        <f>(('Cash Flow'!O43/'Cash Flow'!O38)^0.2-1)*100</f>
        <v>16.751797714691307</v>
      </c>
      <c r="U46" s="175">
        <f>(('Cash Flow'!O43/'Cash Flow'!O33)^0.1-1)*100</f>
        <v>20.935942127336094</v>
      </c>
      <c r="V46" s="178">
        <f>+('Income - Historical'!X43/'Income - Historical'!X42-1)*100</f>
        <v>16.666666666666675</v>
      </c>
      <c r="W46" s="174">
        <f>+(('Income - Historical'!X43/'Income - Historical'!X38)^0.2-1)*100</f>
        <v>17.192316229445325</v>
      </c>
      <c r="X46" s="175">
        <f>+(('Income - Historical'!X43/'Income - Historical'!X33)^0.1-1)*100</f>
        <v>14.869835499703509</v>
      </c>
      <c r="Y46" s="178">
        <f>+('Income - Historical'!Y43/'Income - Historical'!Y42-1)*100</f>
        <v>-11.660447761194026</v>
      </c>
      <c r="Z46" s="174">
        <f>+(('Income - Historical'!Y43/'Income - Historical'!Y38)^0.2-1)*100</f>
        <v>9.3210601783245473</v>
      </c>
      <c r="AA46" s="175">
        <f>+(('Income - Historical'!Y43/'Income - Historical'!Y33)^0.1-1)*100</f>
        <v>19.093100922074925</v>
      </c>
      <c r="AB46" s="235"/>
      <c r="AC46" s="235"/>
    </row>
    <row r="47" spans="1:29" ht="15" x14ac:dyDescent="0.2">
      <c r="A47" s="358">
        <v>2001</v>
      </c>
      <c r="B47" s="161">
        <f>+'Income - Historical'!C44/+'Income - Historical'!B44*100</f>
        <v>19.857552627740773</v>
      </c>
      <c r="C47" s="162">
        <f>+'Income - Historical'!I44/'Income - Historical'!B44*100</f>
        <v>8.5371189654334181</v>
      </c>
      <c r="D47" s="163">
        <f>+'Income - Historical'!M44/'Income - Historical'!B44*100</f>
        <v>4.5602605863192185</v>
      </c>
      <c r="E47" s="162">
        <v>-9.3000000000000007</v>
      </c>
      <c r="F47" s="162">
        <f>+G47-E47</f>
        <v>5.499985969178959</v>
      </c>
      <c r="G47" s="161">
        <f>+(('Income - Historical'!B44/'Income - Historical'!B43)-1)*100</f>
        <v>-3.8000140308210417</v>
      </c>
      <c r="H47" s="162">
        <f>+(('Income - Historical'!B44/'Income - Historical'!B39)^0.2-1)*100</f>
        <v>10.775310516503488</v>
      </c>
      <c r="I47" s="163">
        <f>+(('Income - Historical'!B44/'Income - Historical'!B34)^0.1-1)*100</f>
        <v>14.289889589284055</v>
      </c>
      <c r="J47" s="167">
        <f>+('Income - Historical'!I44/'Income - Historical'!I43-1)*100</f>
        <v>-26.955074875207995</v>
      </c>
      <c r="K47" s="167">
        <f>+(('Income - Historical'!I44/'Income - Historical'!I39)^0.2-1)*100</f>
        <v>2.7735840568518189</v>
      </c>
      <c r="L47" s="163">
        <f>+(('Income - Historical'!I44/'Income - Historical'!I34)^0.1-1)*100</f>
        <v>16.524429427251498</v>
      </c>
      <c r="M47" s="166">
        <f>+('Income - Historical'!M44/'Income - Historical'!M43-1)*100</f>
        <v>-28.966300643695575</v>
      </c>
      <c r="N47" s="167">
        <f>+(('Income - Historical'!M44/'Income - Historical'!M39)^0.2-1)*100</f>
        <v>2.0619556131654893</v>
      </c>
      <c r="O47" s="163">
        <f>+(('Income - Historical'!M44/'Income - Historical'!M34)^0.1-1)*100</f>
        <v>16.891378494869702</v>
      </c>
      <c r="P47" s="167">
        <f>+('Income - Historical'!V44/'Income - Historical'!V43-1)*100</f>
        <v>-28.787878787878796</v>
      </c>
      <c r="Q47" s="167">
        <f>+(('Income - Historical'!V44/'Income - Historical'!V39)^0.2-1)*100</f>
        <v>0.32224083813610083</v>
      </c>
      <c r="R47" s="163">
        <f>+(('Income - Historical'!V44/'Income - Historical'!V34)^0.1-1)*100</f>
        <v>13.160933298036358</v>
      </c>
      <c r="S47" s="162">
        <f>('Cash Flow'!O44/'Cash Flow'!O43-1)*100</f>
        <v>21.256805807622481</v>
      </c>
      <c r="T47" s="167">
        <f>(('Cash Flow'!O44/'Cash Flow'!O39)^0.2-1)*100</f>
        <v>17.554068052294891</v>
      </c>
      <c r="U47" s="185">
        <f>(('Cash Flow'!O44/'Cash Flow'!O34)^0.1-1)*100</f>
        <v>19.837838097432027</v>
      </c>
      <c r="V47" s="167">
        <f>+('Income - Historical'!X44/'Income - Historical'!X43-1)*100</f>
        <v>14.285714285714279</v>
      </c>
      <c r="W47" s="162">
        <f>+(('Income - Historical'!X44/'Income - Historical'!X39)^0.2-1)*100</f>
        <v>15.851771835666174</v>
      </c>
      <c r="X47" s="163">
        <f>+(('Income - Historical'!X44/'Income - Historical'!X34)^0.1-1)*100</f>
        <v>16.140389264489908</v>
      </c>
      <c r="Y47" s="167">
        <f>+('Income - Historical'!Y44/'Income - Historical'!Y43-1)*100</f>
        <v>21.436114044350575</v>
      </c>
      <c r="Z47" s="162">
        <f>+(('Income - Historical'!Y44/'Income - Historical'!Y39)^0.2-1)*100</f>
        <v>5.8488523546331272</v>
      </c>
      <c r="AA47" s="163">
        <f>+(('Income - Historical'!Y44/'Income - Historical'!Y34)^0.1-1)*100</f>
        <v>17.134996667260282</v>
      </c>
      <c r="AB47" s="235"/>
      <c r="AC47" s="235"/>
    </row>
    <row r="48" spans="1:29" ht="15" x14ac:dyDescent="0.2">
      <c r="A48" s="187">
        <v>2002</v>
      </c>
      <c r="B48" s="161">
        <f>+'Income - Historical'!C45/+'Income - Historical'!B45*100</f>
        <v>19.235451097897844</v>
      </c>
      <c r="C48" s="162">
        <f>+'Income - Historical'!I45/'Income - Historical'!B45*100</f>
        <v>9.377779858607612</v>
      </c>
      <c r="D48" s="163">
        <f>+'Income - Historical'!M45/'Income - Historical'!B45*100</f>
        <v>5.4567161383959926</v>
      </c>
      <c r="E48" s="166">
        <v>0.7</v>
      </c>
      <c r="F48" s="162">
        <f t="shared" si="0"/>
        <v>3.1407311974330225</v>
      </c>
      <c r="G48" s="161">
        <f>+(('Income - Historical'!B45/'Income - Historical'!B44)-1)*100</f>
        <v>3.8407311974330227</v>
      </c>
      <c r="H48" s="162">
        <f>+(('Income - Historical'!B45/'Income - Historical'!B40)^0.2-1)*100</f>
        <v>7.9860030077353539</v>
      </c>
      <c r="I48" s="163">
        <f>+(('Income - Historical'!B45/'Income - Historical'!B35)^0.1-1)*100</f>
        <v>13.821543011709569</v>
      </c>
      <c r="J48" s="167">
        <f>+('Income - Historical'!I45/'Income - Historical'!I44-1)*100</f>
        <v>14.066059225512539</v>
      </c>
      <c r="K48" s="167">
        <f>+(('Income - Historical'!I45/'Income - Historical'!I40)^0.2-1)*100</f>
        <v>1.8731704780514669</v>
      </c>
      <c r="L48" s="163">
        <f>+(('Income - Historical'!I45/'Income - Historical'!I35)^0.1-1)*100</f>
        <v>14.262758028338451</v>
      </c>
      <c r="M48" s="166">
        <f>+('Income - Historical'!M45/'Income - Historical'!M44-1)*100</f>
        <v>24.25373134328359</v>
      </c>
      <c r="N48" s="167">
        <f>+(('Income - Historical'!M45/'Income - Historical'!M40)^0.2-1)*100</f>
        <v>2.2752620010244584</v>
      </c>
      <c r="O48" s="163">
        <f>+(('Income - Historical'!M45/'Income - Historical'!M35)^0.1-1)*100</f>
        <v>14.074106753839665</v>
      </c>
      <c r="P48" s="167">
        <f>+('Income - Historical'!V45/'Income - Historical'!V44-1)*100</f>
        <v>24.468085106382986</v>
      </c>
      <c r="Q48" s="167">
        <f>+(('Income - Historical'!V45/'Income - Historical'!V40)^0.2-1)*100</f>
        <v>1.6137364741595661</v>
      </c>
      <c r="R48" s="163">
        <f>+(('Income - Historical'!V45/'Income - Historical'!V35)^0.1-1)*100</f>
        <v>11.109852193902835</v>
      </c>
      <c r="S48" s="162">
        <f>('Cash Flow'!O45/'Cash Flow'!O44-1)*100</f>
        <v>-14.705332086061739</v>
      </c>
      <c r="T48" s="167">
        <f>(('Cash Flow'!O45/'Cash Flow'!O40)^0.2-1)*100</f>
        <v>9.5985958126098225</v>
      </c>
      <c r="U48" s="163">
        <f>(('Cash Flow'!O45/'Cash Flow'!O35)^0.1-1)*100</f>
        <v>16.713295719750064</v>
      </c>
      <c r="V48" s="167">
        <f>+('Income - Historical'!X45/'Income - Historical'!X44-1)*100</f>
        <v>4.1666666666666741</v>
      </c>
      <c r="W48" s="162">
        <f>+(('Income - Historical'!X45/'Income - Historical'!X40)^0.2-1)*100</f>
        <v>13.115273009052952</v>
      </c>
      <c r="X48" s="163">
        <f>+(('Income - Historical'!X45/'Income - Historical'!X35)^0.1-1)*100</f>
        <v>15.831642950132153</v>
      </c>
      <c r="Y48" s="167">
        <f>+('Income - Historical'!Y45/'Income - Historical'!Y44-1)*100</f>
        <v>-2.4347826086956514</v>
      </c>
      <c r="Z48" s="162">
        <f>+(('Income - Historical'!Y45/'Income - Historical'!Y40)^0.2-1)*100</f>
        <v>1.3932946268817803</v>
      </c>
      <c r="AA48" s="163">
        <f>+(('Income - Historical'!Y45/'Income - Historical'!Y35)^0.1-1)*100</f>
        <v>10.194620275875476</v>
      </c>
      <c r="AB48" s="235"/>
      <c r="AC48" s="235"/>
    </row>
    <row r="49" spans="1:29" ht="15" x14ac:dyDescent="0.2">
      <c r="A49" s="187">
        <v>2003</v>
      </c>
      <c r="B49" s="161">
        <f>+'Income - Historical'!C46/+'Income - Historical'!B46*100</f>
        <v>17.585798277197942</v>
      </c>
      <c r="C49" s="162">
        <f>+'Income - Historical'!I46/'Income - Historical'!B46*100</f>
        <v>8.0967139145891274</v>
      </c>
      <c r="D49" s="163">
        <f>+'Income - Historical'!M46/'Income - Historical'!B46*100</f>
        <v>4.6921288911170871</v>
      </c>
      <c r="E49" s="166">
        <v>1.2</v>
      </c>
      <c r="F49" s="162">
        <f>+G49-E49</f>
        <v>1.5248466688515327</v>
      </c>
      <c r="G49" s="161">
        <f>+(('Income - Historical'!B46/'Income - Historical'!B45)-1)*100</f>
        <v>2.7248466688515327</v>
      </c>
      <c r="H49" s="162">
        <f>+(('Income - Historical'!B46/'Income - Historical'!B41)^0.2-1)*100</f>
        <v>5.4195100374039518</v>
      </c>
      <c r="I49" s="163">
        <f>+(('Income - Historical'!B46/'Income - Historical'!B36)^0.1-1)*100</f>
        <v>11.135618484205768</v>
      </c>
      <c r="J49" s="167">
        <f>+('Income - Historical'!I46/'Income - Historical'!I45-1)*100</f>
        <v>-11.30803794308537</v>
      </c>
      <c r="K49" s="167">
        <f>+(('Income - Historical'!I46/'Income - Historical'!I41)^0.2-1)*100</f>
        <v>-3.7042015360930214</v>
      </c>
      <c r="L49" s="163">
        <f>+(('Income - Historical'!I46/'Income - Historical'!I36)^0.1-1)*100</f>
        <v>8.9191746194233978</v>
      </c>
      <c r="M49" s="166">
        <f>+('Income - Historical'!M46/'Income - Historical'!M45-1)*100</f>
        <v>-11.668811668811664</v>
      </c>
      <c r="N49" s="167">
        <f>+(('Income - Historical'!M46/'Income - Historical'!M41)^0.2-1)*100</f>
        <v>-3.6523928512998127</v>
      </c>
      <c r="O49" s="163">
        <f>+(('Income - Historical'!M46/'Income - Historical'!M36)^0.1-1)*100</f>
        <v>9.1355693043656103</v>
      </c>
      <c r="P49" s="167">
        <f>+('Income - Historical'!V46/'Income - Historical'!V45-1)*100</f>
        <v>-10.256410256410241</v>
      </c>
      <c r="Q49" s="167">
        <f>+(('Income - Historical'!V46/'Income - Historical'!V41)^0.2-1)*100</f>
        <v>-3.2717072013237147</v>
      </c>
      <c r="R49" s="163">
        <f>+(('Income - Historical'!V46/'Income - Historical'!V36)^0.1-1)*100</f>
        <v>7.2182614951219248</v>
      </c>
      <c r="S49" s="162">
        <f>('Cash Flow'!O46/'Cash Flow'!O45-1)*100</f>
        <v>-13.29238868172845</v>
      </c>
      <c r="T49" s="167">
        <f>(('Cash Flow'!O46/'Cash Flow'!O41)^0.2-1)*100</f>
        <v>2.1795917115531749</v>
      </c>
      <c r="U49" s="163">
        <f>(('Cash Flow'!O46/'Cash Flow'!O36)^0.1-1)*100</f>
        <v>10.496043147664125</v>
      </c>
      <c r="V49" s="167">
        <f>+('Income - Historical'!X46/'Income - Historical'!X45-1)*100</f>
        <v>8.0000000000000071</v>
      </c>
      <c r="W49" s="162">
        <f>+(('Income - Historical'!X46/'Income - Historical'!X41)^0.2-1)*100</f>
        <v>11.382417860287909</v>
      </c>
      <c r="X49" s="163">
        <f>+(('Income - Historical'!X46/'Income - Historical'!X36)^0.1-1)*100</f>
        <v>14.869835499703509</v>
      </c>
      <c r="Y49" s="167">
        <f>+('Income - Historical'!Y46/'Income - Historical'!Y45-1)*100</f>
        <v>-3.6096256684492123</v>
      </c>
      <c r="Z49" s="162">
        <f>+(('Income - Historical'!Y46/'Income - Historical'!Y41)^0.2-1)*100</f>
        <v>-0.33864955238921413</v>
      </c>
      <c r="AA49" s="163">
        <f>+(('Income - Historical'!Y46/'Income - Historical'!Y36)^0.1-1)*100</f>
        <v>5.636657405190415</v>
      </c>
      <c r="AB49" s="235"/>
      <c r="AC49" s="235"/>
    </row>
    <row r="50" spans="1:29" ht="15" x14ac:dyDescent="0.2">
      <c r="A50" s="187">
        <v>2004</v>
      </c>
      <c r="B50" s="161">
        <f>+'Income - Historical'!C47/+'Income - Historical'!B47*100</f>
        <v>18.00806213744961</v>
      </c>
      <c r="C50" s="162">
        <f>+'Income - Historical'!I47/'Income - Historical'!B47*100</f>
        <v>9.0787533182577906</v>
      </c>
      <c r="D50" s="163">
        <f>+'Income - Historical'!M47/'Income - Historical'!B47*100</f>
        <v>5.612034214924785</v>
      </c>
      <c r="E50" s="166">
        <v>11.6</v>
      </c>
      <c r="F50" s="162">
        <f>+G50-E50</f>
        <v>4.2903422815733112</v>
      </c>
      <c r="G50" s="161">
        <f>+(('Income - Historical'!B47/'Income - Historical'!B46)-1)*100</f>
        <v>15.890342281573311</v>
      </c>
      <c r="H50" s="162">
        <f>+(('Income - Historical'!B47/'Income - Historical'!B42)^0.2-1)*100</f>
        <v>6.1185612837973524</v>
      </c>
      <c r="I50" s="163">
        <f>+(('Income - Historical'!B47/'Income - Historical'!B37)^0.1-1)*100</f>
        <v>10.592699112772518</v>
      </c>
      <c r="J50" s="167">
        <f>+('Income - Historical'!I47/'Income - Historical'!I46-1)*100</f>
        <v>29.946524064171108</v>
      </c>
      <c r="K50" s="167">
        <f>+(('Income - Historical'!I47/'Income - Historical'!I42)^0.2-1)*100</f>
        <v>-1.6793453197206265</v>
      </c>
      <c r="L50" s="163">
        <f>+(('Income - Historical'!I47/'Income - Historical'!I37)^0.1-1)*100</f>
        <v>8.7640216334068821</v>
      </c>
      <c r="M50" s="166">
        <f>+('Income - Historical'!M47/'Income - Historical'!M46-1)*100</f>
        <v>38.610976202039815</v>
      </c>
      <c r="N50" s="167">
        <f>+(('Income - Historical'!M47/'Income - Historical'!M42)^0.2-1)*100</f>
        <v>-0.35361074441572216</v>
      </c>
      <c r="O50" s="163">
        <f>+(('Income - Historical'!M47/'Income - Historical'!M37)^0.1-1)*100</f>
        <v>9.4774860300434138</v>
      </c>
      <c r="P50" s="167">
        <f>+('Income - Historical'!V47/'Income - Historical'!V46-1)*100</f>
        <v>38.095238095238095</v>
      </c>
      <c r="Q50" s="167">
        <f>+(('Income - Historical'!V47/'Income - Historical'!V42)^0.2-1)*100</f>
        <v>0</v>
      </c>
      <c r="R50" s="163">
        <f>+(('Income - Historical'!V47/'Income - Historical'!V37)^0.1-1)*100</f>
        <v>7.6312340600285022</v>
      </c>
      <c r="S50" s="162">
        <f>('Cash Flow'!O47/'Cash Flow'!O46-1)*100</f>
        <v>-13.356944093093858</v>
      </c>
      <c r="T50" s="167">
        <f>(('Cash Flow'!O47/'Cash Flow'!O42)^0.2-1)*100</f>
        <v>-1.5752840580371297</v>
      </c>
      <c r="U50" s="163">
        <f>(('Cash Flow'!O47/'Cash Flow'!O37)^0.1-1)*100</f>
        <v>7.0684331638989573</v>
      </c>
      <c r="V50" s="167">
        <f>+('Income - Historical'!X47/'Income - Historical'!X46-1)*100</f>
        <v>7.4074074074073959</v>
      </c>
      <c r="W50" s="162">
        <f>+(('Income - Historical'!X47/'Income - Historical'!X42)^0.2-1)*100</f>
        <v>10.008210113886594</v>
      </c>
      <c r="X50" s="163">
        <f>+(('Income - Historical'!X47/'Income - Historical'!X37)^0.1-1)*100</f>
        <v>14.106301663958964</v>
      </c>
      <c r="Y50" s="167">
        <f>+('Income - Historical'!Y47/'Income - Historical'!Y46-1)*100</f>
        <v>31.437817845584838</v>
      </c>
      <c r="Z50" s="162">
        <f>+(('Income - Historical'!Y47/'Income - Historical'!Y42)^0.2-1)*100</f>
        <v>5.8060291272215458</v>
      </c>
      <c r="AA50" s="163">
        <f>+(('Income - Historical'!Y47/'Income - Historical'!Y37)^0.1-1)*100</f>
        <v>12.506309950158489</v>
      </c>
      <c r="AB50" s="235"/>
      <c r="AC50" s="235"/>
    </row>
    <row r="51" spans="1:29" ht="15" x14ac:dyDescent="0.2">
      <c r="A51" s="172">
        <v>2005</v>
      </c>
      <c r="B51" s="173">
        <f>+'Income - Historical'!C48/+'Income - Historical'!B48*100</f>
        <v>17.224916498405449</v>
      </c>
      <c r="C51" s="174">
        <f>+'Income - Historical'!I48/'Income - Historical'!B48*100</f>
        <v>7.4764591549827317</v>
      </c>
      <c r="D51" s="175">
        <f>+'Income - Historical'!M48/'Income - Historical'!B48*100</f>
        <v>4.7421357537787996</v>
      </c>
      <c r="E51" s="178">
        <v>2.1</v>
      </c>
      <c r="F51" s="174">
        <f>+G51-E51</f>
        <v>2.104109723724314</v>
      </c>
      <c r="G51" s="173">
        <f>+(('Income - Historical'!B48/'Income - Historical'!B47)-1)*100</f>
        <v>4.2041097237243141</v>
      </c>
      <c r="H51" s="174">
        <f>+(('Income - Historical'!B48/'Income - Historical'!B43)^0.2-1)*100</f>
        <v>4.3830706020382637</v>
      </c>
      <c r="I51" s="175">
        <f>+(('Income - Historical'!B48/'Income - Historical'!B38)^0.1-1)*100</f>
        <v>9.91320926725734</v>
      </c>
      <c r="J51" s="178">
        <f>+('Income - Historical'!I48/'Income - Historical'!I47-1)*100</f>
        <v>-14.186701321204254</v>
      </c>
      <c r="K51" s="179">
        <f>+(('Income - Historical'!I48/'Income - Historical'!I43)^0.2-1)*100</f>
        <v>-3.7966927290341346</v>
      </c>
      <c r="L51" s="175">
        <f>+(('Income - Historical'!I48/'Income - Historical'!I38)^0.1-1)*100</f>
        <v>5.4885263987979993</v>
      </c>
      <c r="M51" s="178">
        <f>+('Income - Historical'!M48/'Income - Historical'!M47-1)*100</f>
        <v>-11.948142957252994</v>
      </c>
      <c r="N51" s="179">
        <f>+(('Income - Historical'!M48/'Income - Historical'!M43)^0.2-1)*100</f>
        <v>-0.98868752434893015</v>
      </c>
      <c r="O51" s="175">
        <f>+(('Income - Historical'!M48/'Income - Historical'!M38)^0.1-1)*100</f>
        <v>6.4187256231767131</v>
      </c>
      <c r="P51" s="178">
        <f>+('Income - Historical'!V48/'Income - Historical'!V47-1)*100</f>
        <v>-10.468632402125177</v>
      </c>
      <c r="Q51" s="179">
        <f>+(('Income - Historical'!V48/'Income - Historical'!V43)^0.2-1)*100</f>
        <v>-0.33243274114380661</v>
      </c>
      <c r="R51" s="175">
        <f>+(('Income - Historical'!V48/'Income - Historical'!V38)^0.1-1)*100</f>
        <v>5.0261895611722451</v>
      </c>
      <c r="S51" s="173">
        <f>('Cash Flow'!O48/'Cash Flow'!O47-1)*100</f>
        <v>30.89051094890516</v>
      </c>
      <c r="T51" s="179">
        <f>(('Cash Flow'!O48/'Cash Flow'!O43)^0.2-1)*100</f>
        <v>0.33799779513150607</v>
      </c>
      <c r="U51" s="175">
        <f>(('Cash Flow'!O48/'Cash Flow'!O38)^0.1-1)*100</f>
        <v>8.2341980229647014</v>
      </c>
      <c r="V51" s="178">
        <f>+('Income - Historical'!X48/'Income - Historical'!X47-1)*100</f>
        <v>8.6206896551724199</v>
      </c>
      <c r="W51" s="174">
        <f>+(('Income - Historical'!X48/'Income - Historical'!X43)^0.2-1)*100</f>
        <v>8.4471771197698544</v>
      </c>
      <c r="X51" s="175">
        <f>+(('Income - Historical'!X48/'Income - Historical'!X38)^0.1-1)*100</f>
        <v>12.734980707900689</v>
      </c>
      <c r="Y51" s="178">
        <f>+('Income - Historical'!Y48/'Income - Historical'!Y47-1)*100</f>
        <v>-19.240239183960604</v>
      </c>
      <c r="Z51" s="174">
        <f>+(('Income - Historical'!Y48/'Income - Historical'!Y43)^0.2-1)*100</f>
        <v>3.9246048350921825</v>
      </c>
      <c r="AA51" s="175">
        <f>+(('Income - Historical'!Y48/'Income - Historical'!Y38)^0.1-1)*100</f>
        <v>6.5886859811383092</v>
      </c>
      <c r="AB51" s="235"/>
      <c r="AC51" s="235"/>
    </row>
    <row r="52" spans="1:29" ht="15.75" thickBot="1" x14ac:dyDescent="0.25">
      <c r="A52" s="222">
        <v>2006</v>
      </c>
      <c r="B52" s="247">
        <f>+'Income - Historical'!C49/+'Income - Historical'!B49*100</f>
        <v>18.134922076506705</v>
      </c>
      <c r="C52" s="433">
        <f>+'Income - Historical'!I49/'Income - Historical'!B49*100</f>
        <v>8.7550405056853275</v>
      </c>
      <c r="D52" s="434">
        <f>+'Income - Historical'!M49/'Income - Historical'!B49*100</f>
        <v>5.4546445308242824</v>
      </c>
      <c r="E52" s="190">
        <v>0.4</v>
      </c>
      <c r="F52" s="188">
        <f>+G52-E52</f>
        <v>3.4891929122714109</v>
      </c>
      <c r="G52" s="459">
        <f>+(('Income - Historical'!B49/'Income - Historical'!B48)-1)*100</f>
        <v>3.8891929122714108</v>
      </c>
      <c r="H52" s="188">
        <f>+(('Income - Historical'!B49/'Income - Historical'!B44)^0.2-1)*100</f>
        <v>6.0007995095037181</v>
      </c>
      <c r="I52" s="189">
        <f>+(('Income - Historical'!B49/'Income - Historical'!B39)^0.1-1)*100</f>
        <v>8.3617620780638049</v>
      </c>
      <c r="J52" s="435">
        <f>+('Income - Historical'!I49/'Income - Historical'!I48-1)*100</f>
        <v>21.655729429581051</v>
      </c>
      <c r="K52" s="436">
        <f>+(('Income - Historical'!I49/'Income - Historical'!I44)^0.2-1)*100</f>
        <v>6.5365199231752102</v>
      </c>
      <c r="L52" s="434">
        <f>+(('Income - Historical'!I49/'Income - Historical'!I39)^0.1-1)*100</f>
        <v>4.6381382931143023</v>
      </c>
      <c r="M52" s="190">
        <f>+('Income - Historical'!M49/'Income - Historical'!M48-1)*100</f>
        <v>19.498607242339872</v>
      </c>
      <c r="N52" s="191">
        <f>+(('Income - Historical'!M49/'Income - Historical'!M44)^0.2-1)*100</f>
        <v>9.8663001855121344</v>
      </c>
      <c r="O52" s="189">
        <f>+(('Income - Historical'!M49/'Income - Historical'!M39)^0.1-1)*100</f>
        <v>5.8922539797716</v>
      </c>
      <c r="P52" s="435">
        <f>+('Income - Historical'!V49/'Income - Historical'!V48-1)*100</f>
        <v>23.832670754475039</v>
      </c>
      <c r="Q52" s="436">
        <f>+(('Income - Historical'!V49/'Income - Historical'!V44)^0.2-1)*100</f>
        <v>11.329464819050417</v>
      </c>
      <c r="R52" s="434">
        <f>+(('Income - Historical'!V49/'Income - Historical'!V39)^0.1-1)*100</f>
        <v>5.6826446582293633</v>
      </c>
      <c r="S52" s="188">
        <f>('Cash Flow'!O49/'Cash Flow'!O48-1)*100</f>
        <v>6.8257863038143851</v>
      </c>
      <c r="T52" s="191">
        <f>(('Cash Flow'!O49/'Cash Flow'!O44)^0.2-1)*100</f>
        <v>-2.1728445717822953</v>
      </c>
      <c r="U52" s="189">
        <f>(('Cash Flow'!O49/'Cash Flow'!O39)^0.1-1)*100</f>
        <v>7.2379601007550587</v>
      </c>
      <c r="V52" s="435">
        <f>+('Income - Historical'!X49/'Income - Historical'!X48-1)*100</f>
        <v>6.3492063492063489</v>
      </c>
      <c r="W52" s="433">
        <f>+(('Income - Historical'!X49/'Income - Historical'!X44)^0.2-1)*100</f>
        <v>6.8972943582217727</v>
      </c>
      <c r="X52" s="434">
        <f>+(('Income - Historical'!X49/'Income - Historical'!X39)^0.1-1)*100</f>
        <v>11.284504563028698</v>
      </c>
      <c r="Y52" s="190">
        <f>+('Income - Historical'!Y49/'Income - Historical'!Y48-1)*100</f>
        <v>4.0940766550522589</v>
      </c>
      <c r="Z52" s="188">
        <f>+(('Income - Historical'!Y49/'Income - Historical'!Y44)^0.2-1)*100</f>
        <v>0.77063911534009932</v>
      </c>
      <c r="AA52" s="189">
        <f>+(('Income - Historical'!Y49/'Income - Historical'!Y39)^0.1-1)*100</f>
        <v>3.2785384356384561</v>
      </c>
      <c r="AB52" s="235"/>
      <c r="AC52" s="235"/>
    </row>
    <row r="53" spans="1:29" s="3" customFormat="1" ht="6" customHeight="1" thickTop="1" x14ac:dyDescent="0.2">
      <c r="A53" s="240"/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241"/>
      <c r="Q53" s="241"/>
      <c r="R53" s="241"/>
      <c r="S53" s="241"/>
      <c r="T53" s="110"/>
      <c r="U53" s="242"/>
      <c r="V53" s="243"/>
      <c r="W53" s="243"/>
      <c r="X53" s="243"/>
      <c r="Y53" s="241"/>
    </row>
    <row r="54" spans="1:29" s="3" customFormat="1" ht="18.75" x14ac:dyDescent="0.3">
      <c r="A54" s="328" t="s">
        <v>226</v>
      </c>
      <c r="B54" s="329"/>
      <c r="C54" s="329"/>
      <c r="D54" s="329"/>
      <c r="E54" s="329"/>
      <c r="F54" s="329"/>
      <c r="G54" s="329"/>
      <c r="H54" s="329"/>
      <c r="I54" s="329"/>
      <c r="J54" s="329"/>
      <c r="K54" s="329"/>
      <c r="L54" s="329"/>
      <c r="M54" s="329"/>
      <c r="N54" s="329"/>
      <c r="O54" s="329"/>
      <c r="P54" s="329"/>
      <c r="Q54" s="329"/>
      <c r="R54" s="329"/>
      <c r="S54" s="329"/>
      <c r="T54" s="329"/>
      <c r="U54" s="329"/>
      <c r="V54" s="329"/>
      <c r="W54" s="329"/>
      <c r="X54" s="329"/>
      <c r="Y54" s="329"/>
      <c r="Z54" s="329"/>
      <c r="AA54" s="329"/>
    </row>
    <row r="55" spans="1:29" ht="13.5" customHeight="1" x14ac:dyDescent="0.2">
      <c r="A55" s="358">
        <v>2002</v>
      </c>
      <c r="B55" s="162">
        <f>'Income - Continuing Ops'!C31/'Income - Continuing Ops'!B31*100</f>
        <v>19.942559684078265</v>
      </c>
      <c r="C55" s="162">
        <f>'Income - Continuing Ops'!F31/'Income - Continuing Ops'!B31*100</f>
        <v>9.8546042003231022</v>
      </c>
      <c r="D55" s="162">
        <f>'Income - Continuing Ops'!N31/'Income - Continuing Ops'!B31*100</f>
        <v>5.6453060491832723</v>
      </c>
      <c r="E55" s="412" t="s">
        <v>224</v>
      </c>
      <c r="F55" s="414" t="s">
        <v>224</v>
      </c>
      <c r="G55" s="416" t="s">
        <v>224</v>
      </c>
      <c r="H55" s="416" t="s">
        <v>224</v>
      </c>
      <c r="I55" s="410" t="s">
        <v>224</v>
      </c>
      <c r="J55" s="416" t="s">
        <v>224</v>
      </c>
      <c r="K55" s="416" t="s">
        <v>224</v>
      </c>
      <c r="L55" s="410" t="s">
        <v>224</v>
      </c>
      <c r="M55" s="416" t="s">
        <v>224</v>
      </c>
      <c r="N55" s="416" t="s">
        <v>224</v>
      </c>
      <c r="O55" s="410" t="s">
        <v>224</v>
      </c>
      <c r="P55" s="416" t="s">
        <v>224</v>
      </c>
      <c r="Q55" s="416" t="s">
        <v>224</v>
      </c>
      <c r="R55" s="410" t="s">
        <v>224</v>
      </c>
      <c r="S55" s="162">
        <f>('Cash Flow'!O45/'Cash Flow'!O44-1)*100</f>
        <v>-14.705332086061739</v>
      </c>
      <c r="T55" s="167">
        <f>(('Cash Flow'!O45/'Cash Flow'!O40)^0.2-1)*100</f>
        <v>9.5985958126098225</v>
      </c>
      <c r="U55" s="163">
        <f>(('Cash Flow'!O45/'Cash Flow'!O35)^0.1-1)*100</f>
        <v>16.713295719750064</v>
      </c>
      <c r="V55" s="167">
        <f>+('Income - Continuing Ops'!Y31/'Income - Historical'!X44-1)*100</f>
        <v>4.1666666666666741</v>
      </c>
      <c r="W55" s="162">
        <f>(('Income - Historical'!X45/'Income - Historical'!X40)^0.2-1)*100</f>
        <v>13.115273009052952</v>
      </c>
      <c r="X55" s="163">
        <f>(('Income - Continuing Ops'!Y31/'Income - Historical'!X35)^0.1-1)*100</f>
        <v>15.831642950132153</v>
      </c>
      <c r="Y55" s="167">
        <f>('Income - Continuing Ops'!Z31/'Income - Historical'!Y44-1)*100</f>
        <v>-2.4347826086956514</v>
      </c>
      <c r="Z55" s="162">
        <f>(('Income - Historical'!Y45/'Income - Historical'!Y40)^0.2-1)*100</f>
        <v>1.3932946268817803</v>
      </c>
      <c r="AA55" s="163">
        <f>(('Income - Continuing Ops'!Z31/'Income - Historical'!Y35)^0.1-1)*100</f>
        <v>10.194620275875476</v>
      </c>
    </row>
    <row r="56" spans="1:29" ht="13.5" customHeight="1" x14ac:dyDescent="0.2">
      <c r="A56" s="187">
        <v>2003</v>
      </c>
      <c r="B56" s="162">
        <f>'Income - Continuing Ops'!C32/'Income - Continuing Ops'!B32*100</f>
        <v>18.481676902228756</v>
      </c>
      <c r="C56" s="162">
        <f>'Income - Continuing Ops'!F32/'Income - Continuing Ops'!B32*100</f>
        <v>8.5229074762852104</v>
      </c>
      <c r="D56" s="162">
        <f>'Income - Continuing Ops'!N32/'Income - Continuing Ops'!B32*100</f>
        <v>4.9101865467231764</v>
      </c>
      <c r="E56" s="412" t="s">
        <v>224</v>
      </c>
      <c r="F56" s="414" t="s">
        <v>224</v>
      </c>
      <c r="G56" s="162">
        <f>(('Income - Continuing Ops'!B32/'Income - Continuing Ops'!B31)-1)*100</f>
        <v>3.7605456830012596</v>
      </c>
      <c r="H56" s="416" t="s">
        <v>224</v>
      </c>
      <c r="I56" s="410" t="s">
        <v>224</v>
      </c>
      <c r="J56" s="162">
        <f>+('Income - Continuing Ops'!F32/'Income - Continuing Ops'!F31-1)*100</f>
        <v>-10.261080752884055</v>
      </c>
      <c r="K56" s="416" t="s">
        <v>224</v>
      </c>
      <c r="L56" s="410" t="s">
        <v>224</v>
      </c>
      <c r="M56" s="162">
        <f>+('Income - Continuing Ops'!N32/'Income - Continuing Ops'!N31-1)*100</f>
        <v>-9.7509273979862865</v>
      </c>
      <c r="N56" s="416" t="s">
        <v>224</v>
      </c>
      <c r="O56" s="410" t="s">
        <v>224</v>
      </c>
      <c r="P56" s="162">
        <f>('Income - Continuing Ops'!W32/'Income - Continuing Ops'!W31-1)*100</f>
        <v>-8.4681994625261936</v>
      </c>
      <c r="Q56" s="416" t="s">
        <v>224</v>
      </c>
      <c r="R56" s="410" t="s">
        <v>224</v>
      </c>
      <c r="S56" s="162">
        <f>('Cash Flow'!O46/'Cash Flow'!O45-1)*100</f>
        <v>-13.29238868172845</v>
      </c>
      <c r="T56" s="167">
        <f>(('Cash Flow'!O46/'Cash Flow'!O41)^0.2-1)*100</f>
        <v>2.1795917115531749</v>
      </c>
      <c r="U56" s="163">
        <f>(('Cash Flow'!O46/'Cash Flow'!O36)^0.1-1)*100</f>
        <v>10.496043147664125</v>
      </c>
      <c r="V56" s="167">
        <f>+('Income - Continuing Ops'!Y32/'Income - Continuing Ops'!Y31-1)*100</f>
        <v>8.0000000000000071</v>
      </c>
      <c r="W56" s="162">
        <f>(('Income - Historical'!X46/'Income - Historical'!X41)^0.2-1)*100</f>
        <v>11.382417860287909</v>
      </c>
      <c r="X56" s="163">
        <f>(('Income - Continuing Ops'!Y32/'Income - Historical'!X36)^0.1-1)*100</f>
        <v>14.869835499703509</v>
      </c>
      <c r="Y56" s="167">
        <f>('Income - Continuing Ops'!Z32/'Income - Continuing Ops'!Z31-1)*100</f>
        <v>-3.6096256684492123</v>
      </c>
      <c r="Z56" s="162">
        <f>(('Income - Historical'!Y46/'Income - Historical'!Y41)^0.2-1)*100</f>
        <v>-0.33864955238921413</v>
      </c>
      <c r="AA56" s="163">
        <f>(('Income - Continuing Ops'!Z32/'Income - Historical'!Y36)^0.1-1)*100</f>
        <v>5.636657405190415</v>
      </c>
    </row>
    <row r="57" spans="1:29" ht="13.5" customHeight="1" x14ac:dyDescent="0.2">
      <c r="A57" s="187">
        <v>2004</v>
      </c>
      <c r="B57" s="162">
        <f>'Income - Continuing Ops'!C33/'Income - Continuing Ops'!B33*100</f>
        <v>18.773889669798525</v>
      </c>
      <c r="C57" s="162">
        <f>'Income - Continuing Ops'!F33/'Income - Continuing Ops'!B33*100</f>
        <v>9.4621587630391364</v>
      </c>
      <c r="D57" s="162">
        <f>'Income - Continuing Ops'!N33/'Income - Continuing Ops'!B33*100</f>
        <v>5.8025696037089096</v>
      </c>
      <c r="E57" s="412" t="s">
        <v>224</v>
      </c>
      <c r="F57" s="414" t="s">
        <v>224</v>
      </c>
      <c r="G57" s="162">
        <f>(('Income - Continuing Ops'!B33/'Income - Continuing Ops'!B32)-1)*100</f>
        <v>16.91895164778132</v>
      </c>
      <c r="H57" s="416" t="s">
        <v>224</v>
      </c>
      <c r="I57" s="410" t="s">
        <v>224</v>
      </c>
      <c r="J57" s="162">
        <f>+('Income - Continuing Ops'!F33/'Income - Continuing Ops'!F32-1)*100</f>
        <v>29.803788903924232</v>
      </c>
      <c r="K57" s="416" t="s">
        <v>224</v>
      </c>
      <c r="L57" s="410" t="s">
        <v>224</v>
      </c>
      <c r="M57" s="162">
        <f>+('Income - Continuing Ops'!N33/'Income - Continuing Ops'!N32-1)*100</f>
        <v>38.167938931297755</v>
      </c>
      <c r="N57" s="416" t="s">
        <v>224</v>
      </c>
      <c r="O57" s="410" t="s">
        <v>224</v>
      </c>
      <c r="P57" s="162">
        <f>('Income - Continuing Ops'!W33/'Income - Continuing Ops'!W32-1)*100</f>
        <v>38.238110561024172</v>
      </c>
      <c r="Q57" s="416" t="s">
        <v>224</v>
      </c>
      <c r="R57" s="410" t="s">
        <v>224</v>
      </c>
      <c r="S57" s="162">
        <f>('Cash Flow'!O47/'Cash Flow'!O46-1)*100</f>
        <v>-13.356944093093858</v>
      </c>
      <c r="T57" s="167">
        <f>(('Cash Flow'!O47/'Cash Flow'!O42)^0.2-1)*100</f>
        <v>-1.5752840580371297</v>
      </c>
      <c r="U57" s="163">
        <f>(('Cash Flow'!O47/'Cash Flow'!O37)^0.1-1)*100</f>
        <v>7.0684331638989573</v>
      </c>
      <c r="V57" s="167">
        <f>+('Income - Continuing Ops'!Y33/'Income - Continuing Ops'!Y32-1)*100</f>
        <v>7.4074074074073959</v>
      </c>
      <c r="W57" s="162">
        <f>(('Income - Historical'!X47/'Income - Historical'!X42)^0.2-1)*100</f>
        <v>10.008210113886594</v>
      </c>
      <c r="X57" s="163">
        <f>(('Income - Continuing Ops'!Y33/'Income - Historical'!X37)^0.1-1)*100</f>
        <v>14.106301663958964</v>
      </c>
      <c r="Y57" s="167">
        <f>('Income - Continuing Ops'!Z33/'Income - Continuing Ops'!Z32-1)*100</f>
        <v>31.437817845584838</v>
      </c>
      <c r="Z57" s="162">
        <f>(('Income - Historical'!Y47/'Income - Historical'!Y42)^0.2-1)*100</f>
        <v>5.8060291272215458</v>
      </c>
      <c r="AA57" s="163">
        <f>(('Income - Continuing Ops'!Z33/'Income - Historical'!Y37)^0.1-1)*100</f>
        <v>12.506309950158489</v>
      </c>
    </row>
    <row r="58" spans="1:29" s="3" customFormat="1" ht="15" x14ac:dyDescent="0.2">
      <c r="A58" s="359">
        <v>2005</v>
      </c>
      <c r="B58" s="174">
        <f>'Income - Continuing Ops'!C34/'Income - Continuing Ops'!B34*100</f>
        <v>19.144170975197159</v>
      </c>
      <c r="C58" s="174">
        <f>'Income - Continuing Ops'!F34/'Income - Continuing Ops'!B34*100</f>
        <v>9.7615019894689183</v>
      </c>
      <c r="D58" s="175">
        <f>'Income - Continuing Ops'!N34/'Income - Continuing Ops'!B34*100</f>
        <v>5.9350503919372901</v>
      </c>
      <c r="E58" s="413" t="s">
        <v>224</v>
      </c>
      <c r="F58" s="415" t="s">
        <v>224</v>
      </c>
      <c r="G58" s="173">
        <f>(('Income - Continuing Ops'!B34/'Income - Continuing Ops'!B33)-1)*100</f>
        <v>3.5017632117580355</v>
      </c>
      <c r="H58" s="417" t="s">
        <v>224</v>
      </c>
      <c r="I58" s="418" t="s">
        <v>224</v>
      </c>
      <c r="J58" s="173">
        <f>+('Income - Continuing Ops'!F34/'Income - Continuing Ops'!F33-1)*100</f>
        <v>6.7761271826948244</v>
      </c>
      <c r="K58" s="417" t="s">
        <v>224</v>
      </c>
      <c r="L58" s="418" t="s">
        <v>224</v>
      </c>
      <c r="M58" s="173">
        <f>+('Income - Continuing Ops'!N34/'Income - Continuing Ops'!N33-1)*100</f>
        <v>5.8648533786655577</v>
      </c>
      <c r="N58" s="417" t="s">
        <v>224</v>
      </c>
      <c r="O58" s="418" t="s">
        <v>224</v>
      </c>
      <c r="P58" s="173">
        <f>('Income - Continuing Ops'!W34/'Income - Continuing Ops'!W33-1)*100</f>
        <v>7.6832733062598413</v>
      </c>
      <c r="Q58" s="417" t="s">
        <v>224</v>
      </c>
      <c r="R58" s="418" t="s">
        <v>224</v>
      </c>
      <c r="S58" s="173">
        <f>('Cash Flow'!O48/'Cash Flow'!O47-1)*100</f>
        <v>30.89051094890516</v>
      </c>
      <c r="T58" s="179">
        <f>(('Cash Flow'!O48/'Cash Flow'!O43)^0.2-1)*100</f>
        <v>0.33799779513150607</v>
      </c>
      <c r="U58" s="175">
        <f>(('Cash Flow'!O48/'Cash Flow'!O38)^0.1-1)*100</f>
        <v>8.2341980229647014</v>
      </c>
      <c r="V58" s="178">
        <f>+('Income - Continuing Ops'!Y34/'Income - Continuing Ops'!Y33-1)*100</f>
        <v>8.6206896551724199</v>
      </c>
      <c r="W58" s="174">
        <f>(('Income - Historical'!X48/'Income - Historical'!X43)^0.2-1)*100</f>
        <v>8.4471771197698544</v>
      </c>
      <c r="X58" s="175">
        <f>(('Income - Continuing Ops'!Y34/'Income - Historical'!X38)^0.1-1)*100</f>
        <v>12.734980707900689</v>
      </c>
      <c r="Y58" s="178">
        <f>('Income - Continuing Ops'!Z34/'Income - Continuing Ops'!Z33-1)*100</f>
        <v>-19.240239183960604</v>
      </c>
      <c r="Z58" s="174">
        <f>(('Income - Historical'!Y48/'Income - Historical'!Y43)^0.2-1)*100</f>
        <v>3.9246048350921825</v>
      </c>
      <c r="AA58" s="175">
        <f>(('Income - Continuing Ops'!Z34/'Income - Historical'!Y38)^0.1-1)*100</f>
        <v>6.5886859811383092</v>
      </c>
      <c r="AB58" s="248"/>
      <c r="AC58" s="248"/>
    </row>
    <row r="59" spans="1:29" s="3" customFormat="1" ht="15" x14ac:dyDescent="0.2">
      <c r="A59" s="187">
        <v>2006</v>
      </c>
      <c r="B59" s="162">
        <f>'Income - Continuing Ops'!C35/'Income - Continuing Ops'!B35*100</f>
        <v>18.809908833110693</v>
      </c>
      <c r="C59" s="162">
        <f>'Income - Continuing Ops'!F35/'Income - Continuing Ops'!B35*100</f>
        <v>9.6768145492043427</v>
      </c>
      <c r="D59" s="162">
        <f>'Income - Continuing Ops'!N35/'Income - Continuing Ops'!B35*100</f>
        <v>5.6973446764630076</v>
      </c>
      <c r="E59" s="166">
        <v>-0.9</v>
      </c>
      <c r="F59" s="185">
        <f t="shared" ref="F59:F64" si="2">+G59-E59</f>
        <v>2.5630530604464732</v>
      </c>
      <c r="G59" s="162">
        <f>(('Income - Continuing Ops'!B35/'Income - Continuing Ops'!B34)-1)*100</f>
        <v>1.6630530604464733</v>
      </c>
      <c r="H59" s="416" t="s">
        <v>224</v>
      </c>
      <c r="I59" s="410" t="s">
        <v>224</v>
      </c>
      <c r="J59" s="162">
        <f>+('Income - Continuing Ops'!F35/'Income - Continuing Ops'!F34-1)*100</f>
        <v>0.781059311691501</v>
      </c>
      <c r="K59" s="416" t="s">
        <v>224</v>
      </c>
      <c r="L59" s="410" t="s">
        <v>224</v>
      </c>
      <c r="M59" s="162">
        <f>+('Income - Continuing Ops'!N35/'Income - Continuing Ops'!N34-1)*100</f>
        <v>-2.4086712163789659</v>
      </c>
      <c r="N59" s="416" t="s">
        <v>224</v>
      </c>
      <c r="O59" s="410" t="s">
        <v>224</v>
      </c>
      <c r="P59" s="162">
        <f>('Income - Continuing Ops'!W35/'Income - Continuing Ops'!W34-1)*100</f>
        <v>1.130842983348157</v>
      </c>
      <c r="Q59" s="416" t="s">
        <v>224</v>
      </c>
      <c r="R59" s="410" t="s">
        <v>224</v>
      </c>
      <c r="S59" s="162">
        <f>('Cash Flow'!O49/'Cash Flow'!O48-1)*100</f>
        <v>6.8257863038143851</v>
      </c>
      <c r="T59" s="167">
        <f>(('Cash Flow'!O49/'Cash Flow'!O44)^0.2-1)*100</f>
        <v>-2.1728445717822953</v>
      </c>
      <c r="U59" s="163">
        <f>(('Cash Flow'!O49/'Cash Flow'!O39)^0.1-1)*100</f>
        <v>7.2379601007550587</v>
      </c>
      <c r="V59" s="167">
        <f>+('Income - Continuing Ops'!Y35/'Income - Continuing Ops'!Y34-1)*100</f>
        <v>6.3492063492063489</v>
      </c>
      <c r="W59" s="162">
        <f>(('Income - Historical'!X49/'Income - Historical'!X44)^0.2-1)*100</f>
        <v>6.8972943582217727</v>
      </c>
      <c r="X59" s="163">
        <f>(('Income - Continuing Ops'!Y35/'Income - Historical'!X39)^0.1-1)*100</f>
        <v>11.284504563028698</v>
      </c>
      <c r="Y59" s="167">
        <f>('Income - Continuing Ops'!Z35/'Income - Continuing Ops'!Z34-1)*100</f>
        <v>4.0940766550522589</v>
      </c>
      <c r="Z59" s="162">
        <f>(('Income - Continuing Ops'!Z35/'Income - Historical'!Y44)^0.2-1)*100</f>
        <v>0.77063911534009932</v>
      </c>
      <c r="AA59" s="163">
        <f>(('Income - Continuing Ops'!Z35/'Income - Historical'!Y39)^0.1-1)*100</f>
        <v>3.2785384356384561</v>
      </c>
      <c r="AB59" s="248"/>
      <c r="AC59" s="248"/>
    </row>
    <row r="60" spans="1:29" ht="15" x14ac:dyDescent="0.2">
      <c r="A60" s="187">
        <v>2007</v>
      </c>
      <c r="B60" s="162">
        <f>'Income - Continuing Ops'!C36/'Income - Continuing Ops'!B36*100</f>
        <v>18.842352941176468</v>
      </c>
      <c r="C60" s="162">
        <f>'Income - Continuing Ops'!F36/'Income - Continuing Ops'!B36*100</f>
        <v>8.670588235294117</v>
      </c>
      <c r="D60" s="162">
        <f>'Income - Continuing Ops'!N36/'Income - Continuing Ops'!B36*100</f>
        <v>5.091764705882353</v>
      </c>
      <c r="E60" s="166">
        <v>-2.6</v>
      </c>
      <c r="F60" s="163">
        <f t="shared" si="2"/>
        <v>2.2039279101924247</v>
      </c>
      <c r="G60" s="162">
        <f>(('Income - Continuing Ops'!B36/'Income - Continuing Ops'!B35)-1)*100</f>
        <v>-0.39607208980757536</v>
      </c>
      <c r="H60" s="162">
        <f>(('Income - Continuing Ops'!B36/'Income - Continuing Ops'!B31)^0.2-1)*100</f>
        <v>4.9206335216881891</v>
      </c>
      <c r="I60" s="410" t="s">
        <v>224</v>
      </c>
      <c r="J60" s="162">
        <f>+('Income - Continuing Ops'!F36/'Income - Continuing Ops'!F35-1)*100</f>
        <v>-10.753209009445397</v>
      </c>
      <c r="K60" s="162">
        <f>(('Income - Continuing Ops'!F36/'Income - Continuing Ops'!F31)^0.2-1)*100</f>
        <v>2.2687103780455908</v>
      </c>
      <c r="L60" s="410" t="s">
        <v>224</v>
      </c>
      <c r="M60" s="162">
        <f>+('Income - Continuing Ops'!N36/'Income - Continuing Ops'!N35-1)*100</f>
        <v>-10.9831345125463</v>
      </c>
      <c r="N60" s="162">
        <f>(('Income - Continuing Ops'!N36/'Income - Continuing Ops'!N31)^0.2-1)*100</f>
        <v>2.7772684875497333</v>
      </c>
      <c r="O60" s="410" t="s">
        <v>224</v>
      </c>
      <c r="P60" s="162">
        <f>('Income - Continuing Ops'!W36/'Income - Continuing Ops'!W35-1)*100</f>
        <v>-7.5175168350592241</v>
      </c>
      <c r="Q60" s="162">
        <f>(('Income - Continuing Ops'!W36/'Income - Continuing Ops'!W31)^0.2-1)*100</f>
        <v>4.9683161577549706</v>
      </c>
      <c r="R60" s="410" t="s">
        <v>224</v>
      </c>
      <c r="S60" s="162">
        <f>('Cash Flow'!O50/'Cash Flow'!O49-1)*100</f>
        <v>28.147838797243697</v>
      </c>
      <c r="T60" s="167">
        <f>(('Cash Flow'!O50/'Cash Flow'!O45)^0.2-1)*100</f>
        <v>6.1249029796896837</v>
      </c>
      <c r="U60" s="163">
        <f>(('Cash Flow'!O50/'Cash Flow'!O40)^0.1-1)*100</f>
        <v>7.8477646839443915</v>
      </c>
      <c r="V60" s="167">
        <f>+('Income - Continuing Ops'!Y36/'Income - Continuing Ops'!Y35-1)*100</f>
        <v>16.417910447761198</v>
      </c>
      <c r="W60" s="162">
        <f>(('Income - Continuing Ops'!Y36/'Income - Continuing Ops'!Y31)^0.2-1)*100</f>
        <v>9.3011973943858628</v>
      </c>
      <c r="X60" s="163">
        <f>(('Income - Continuing Ops'!Y36/'Income - Historical'!X40)^0.1-1)*100</f>
        <v>11.191882722986325</v>
      </c>
      <c r="Y60" s="167">
        <f>('Income - Continuing Ops'!Z36/'Income - Continuing Ops'!Z35-1)*100</f>
        <v>-27.029288702928856</v>
      </c>
      <c r="Z60" s="162">
        <f>(('Income - Continuing Ops'!Z36/'Income - Continuing Ops'!Z31)^0.2-1)*100</f>
        <v>-4.9165950233177931</v>
      </c>
      <c r="AA60" s="163">
        <f>(('Income - Continuing Ops'!Z36/'Income - Historical'!Y40)^0.1-1)*100</f>
        <v>-1.8123241189208272</v>
      </c>
    </row>
    <row r="61" spans="1:29" ht="15" x14ac:dyDescent="0.2">
      <c r="A61" s="187">
        <v>2008</v>
      </c>
      <c r="B61" s="162">
        <f>'Income - Continuing Ops'!C37/'Income - Continuing Ops'!B37*100</f>
        <v>17.25178479428866</v>
      </c>
      <c r="C61" s="162">
        <f>'Income - Continuing Ops'!F37/'Income - Continuing Ops'!B37*100</f>
        <v>6.6313387797159065</v>
      </c>
      <c r="D61" s="162">
        <f>'Income - Continuing Ops'!N37/'Income - Continuing Ops'!B37*100</f>
        <v>3.5794018792473214</v>
      </c>
      <c r="E61" s="166">
        <v>-3.98</v>
      </c>
      <c r="F61" s="163">
        <f t="shared" si="2"/>
        <v>-0.11176470588235032</v>
      </c>
      <c r="G61" s="162">
        <f>(('Income - Continuing Ops'!B37/'Income - Continuing Ops'!B36)-1)*100</f>
        <v>-4.0917647058823503</v>
      </c>
      <c r="H61" s="162">
        <f>(('Income - Continuing Ops'!B37/'Income - Continuing Ops'!B32)^0.2-1)*100</f>
        <v>3.2822367756546678</v>
      </c>
      <c r="I61" s="410" t="s">
        <v>224</v>
      </c>
      <c r="J61" s="162">
        <f>+('Income - Continuing Ops'!F37/'Income - Continuing Ops'!F36-1)*100</f>
        <v>-26.6485753052917</v>
      </c>
      <c r="K61" s="162">
        <f>(('Income - Continuing Ops'!F37/'Income - Continuing Ops'!F32)^0.2-1)*100</f>
        <v>-1.7735783414468131</v>
      </c>
      <c r="L61" s="410" t="s">
        <v>224</v>
      </c>
      <c r="M61" s="162">
        <f>+('Income - Continuing Ops'!N37/'Income - Continuing Ops'!N36-1)*100</f>
        <v>-32.578558225508282</v>
      </c>
      <c r="N61" s="162">
        <f>(('Income - Continuing Ops'!N37/'Income - Continuing Ops'!N32)^0.2-1)*100</f>
        <v>-3.0454647792897416</v>
      </c>
      <c r="O61" s="410" t="s">
        <v>224</v>
      </c>
      <c r="P61" s="162">
        <f>('Income - Continuing Ops'!W37/'Income - Continuing Ops'!W36-1)*100</f>
        <v>-27.9288036203709</v>
      </c>
      <c r="Q61" s="162">
        <f>(('Income - Continuing Ops'!W37/'Income - Continuing Ops'!W32)^0.2-1)*100</f>
        <v>6.8220240613103833E-2</v>
      </c>
      <c r="R61" s="410" t="s">
        <v>224</v>
      </c>
      <c r="S61" s="162">
        <f>('Cash Flow'!O51/'Cash Flow'!O50-1)*100</f>
        <v>-28.922926511324754</v>
      </c>
      <c r="T61" s="167">
        <f>(('Cash Flow'!O51/'Cash Flow'!O46)^0.2-1)*100</f>
        <v>1.9886326719329439</v>
      </c>
      <c r="U61" s="163">
        <f>(('Cash Flow'!O51/'Cash Flow'!O41)^0.1-1)*100</f>
        <v>2.0840675406190945</v>
      </c>
      <c r="V61" s="167">
        <f>+('Income - Continuing Ops'!Y37/'Income - Continuing Ops'!Y36-1)*100</f>
        <v>28.205128205128194</v>
      </c>
      <c r="W61" s="162">
        <f>(('Income - Continuing Ops'!Y37/'Income - Continuing Ops'!Y32)^0.2-1)*100</f>
        <v>13.115273009052952</v>
      </c>
      <c r="X61" s="163">
        <f>(('Income - Continuing Ops'!Y37/'Income - Historical'!X41)^0.1-1)*100</f>
        <v>12.245501489702825</v>
      </c>
      <c r="Y61" s="167">
        <f>('Income - Continuing Ops'!Z37/'Income - Continuing Ops'!Z36-1)*100</f>
        <v>-12.901376146789001</v>
      </c>
      <c r="Z61" s="162">
        <f>(('Income - Continuing Ops'!Z37/'Income - Continuing Ops'!Z32)^0.2-1)*100</f>
        <v>-6.824817754058266</v>
      </c>
      <c r="AA61" s="163">
        <f>(('Income - Continuing Ops'!Z37/'Income - Historical'!Y41)^0.1-1)*100</f>
        <v>-3.63629059219025</v>
      </c>
      <c r="AB61" s="237"/>
      <c r="AC61" s="237"/>
    </row>
    <row r="62" spans="1:29" ht="15" x14ac:dyDescent="0.2">
      <c r="A62" s="187">
        <v>2009</v>
      </c>
      <c r="B62" s="162">
        <f>'Income - Continuing Ops'!C38/'Income - Continuing Ops'!B38*100</f>
        <v>21.133557800224466</v>
      </c>
      <c r="C62" s="162">
        <f>'Income - Continuing Ops'!F38/'Income - Continuing Ops'!B38*100</f>
        <v>8.4848484848484844</v>
      </c>
      <c r="D62" s="162">
        <f>'Income - Continuing Ops'!N38/'Income - Continuing Ops'!B38*100</f>
        <v>4.5940890385334834</v>
      </c>
      <c r="E62" s="411" t="s">
        <v>224</v>
      </c>
      <c r="F62" s="410" t="s">
        <v>224</v>
      </c>
      <c r="G62" s="411" t="s">
        <v>224</v>
      </c>
      <c r="H62" s="162" t="s">
        <v>224</v>
      </c>
      <c r="I62" s="410" t="s">
        <v>224</v>
      </c>
      <c r="J62" s="411" t="s">
        <v>224</v>
      </c>
      <c r="K62" s="162" t="s">
        <v>224</v>
      </c>
      <c r="L62" s="410" t="s">
        <v>224</v>
      </c>
      <c r="M62" s="411" t="s">
        <v>224</v>
      </c>
      <c r="N62" s="162" t="s">
        <v>224</v>
      </c>
      <c r="O62" s="410" t="s">
        <v>224</v>
      </c>
      <c r="P62" s="411" t="s">
        <v>224</v>
      </c>
      <c r="Q62" s="162" t="s">
        <v>224</v>
      </c>
      <c r="R62" s="410" t="s">
        <v>224</v>
      </c>
      <c r="S62" s="162">
        <f>('Cash Flow'!O52/'Cash Flow'!O51-1)*100</f>
        <v>29.596515359926624</v>
      </c>
      <c r="T62" s="167">
        <f>(('Cash Flow'!O52/'Cash Flow'!O47)^0.2-1)*100</f>
        <v>10.541074540107642</v>
      </c>
      <c r="U62" s="163">
        <f>(('Cash Flow'!O52/'Cash Flow'!O42)^0.1-1)*100</f>
        <v>4.307113187593492</v>
      </c>
      <c r="V62" s="167">
        <f>+('Income - Continuing Ops'!Y38/'Income - Continuing Ops'!Y37-1)*100</f>
        <v>2.0000000000000018</v>
      </c>
      <c r="W62" s="162">
        <f>(('Income - Continuing Ops'!Y38/'Income - Continuing Ops'!Y33)^0.2-1)*100</f>
        <v>11.952664832522043</v>
      </c>
      <c r="X62" s="163">
        <f>(('Income - Continuing Ops'!Y38/'Income - Historical'!X42)^0.1-1)*100</f>
        <v>10.97617886603237</v>
      </c>
      <c r="Y62" s="167">
        <f>('Income - Continuing Ops'!Z38/'Income - Continuing Ops'!Z37-1)*100</f>
        <v>34.298880842659642</v>
      </c>
      <c r="Z62" s="162">
        <f>(('Income - Continuing Ops'!Z38/'Income - Continuing Ops'!Z33)^0.2-1)*100</f>
        <v>-6.4226674049076333</v>
      </c>
      <c r="AA62" s="163">
        <f>(('Income - Continuing Ops'!Z38/'Income - Historical'!Y42)^0.1-1)*100</f>
        <v>-0.49600018992180805</v>
      </c>
      <c r="AB62" s="236"/>
      <c r="AC62" s="236"/>
    </row>
    <row r="63" spans="1:29" ht="15" x14ac:dyDescent="0.2">
      <c r="A63" s="359">
        <v>2010</v>
      </c>
      <c r="B63" s="174">
        <f>'Income - Continuing Ops'!C39/'Income - Continuing Ops'!B39*100</f>
        <v>20.11274411113348</v>
      </c>
      <c r="C63" s="174">
        <f>'Income - Continuing Ops'!F39/'Income - Continuing Ops'!B39*100</f>
        <v>9.3450104019864426</v>
      </c>
      <c r="D63" s="174">
        <f>'Income - Continuing Ops'!N39/'Income - Continuing Ops'!B39*100</f>
        <v>5.7110261056304932</v>
      </c>
      <c r="E63" s="178">
        <v>12.5</v>
      </c>
      <c r="F63" s="175">
        <f t="shared" si="2"/>
        <v>-1.0072951739618539</v>
      </c>
      <c r="G63" s="174">
        <f>(('Income - Continuing Ops'!B39/'Income - Continuing Ops'!B38)-1)*100</f>
        <v>11.492704826038146</v>
      </c>
      <c r="H63" s="174" t="s">
        <v>224</v>
      </c>
      <c r="I63" s="418" t="s">
        <v>224</v>
      </c>
      <c r="J63" s="174">
        <f>+('Income - Continuing Ops'!F39/'Income - Continuing Ops'!F38-1)*100</f>
        <v>22.795414462081109</v>
      </c>
      <c r="K63" s="174" t="s">
        <v>224</v>
      </c>
      <c r="L63" s="418" t="s">
        <v>224</v>
      </c>
      <c r="M63" s="174">
        <f>+('Income - Continuing Ops'!N39/'Income - Continuing Ops'!N38-1)*100</f>
        <v>38.59934853420193</v>
      </c>
      <c r="N63" s="174" t="s">
        <v>224</v>
      </c>
      <c r="O63" s="418" t="s">
        <v>224</v>
      </c>
      <c r="P63" s="174">
        <f>('Income - Continuing Ops'!W39/'Income - Continuing Ops'!W38-1)*100</f>
        <v>44.656854308364679</v>
      </c>
      <c r="Q63" s="174" t="s">
        <v>224</v>
      </c>
      <c r="R63" s="418" t="s">
        <v>224</v>
      </c>
      <c r="S63" s="174">
        <f>('Cash Flow'!O53/'Cash Flow'!O52-1)*100</f>
        <v>-35.874756766318761</v>
      </c>
      <c r="T63" s="179">
        <f>(('Cash Flow'!O53/'Cash Flow'!O48)^0.2-1)*100</f>
        <v>-4.1597684265484052</v>
      </c>
      <c r="U63" s="175">
        <f>(('Cash Flow'!O53/'Cash Flow'!O43)^0.1-1)*100</f>
        <v>-1.9366687068918753</v>
      </c>
      <c r="V63" s="179">
        <f>+('Income - Continuing Ops'!Y39/'Income - Continuing Ops'!Y38-1)*100</f>
        <v>3.9215686274509887</v>
      </c>
      <c r="W63" s="174">
        <f>(('Income - Continuing Ops'!Y39/'Income - Continuing Ops'!Y34)^0.2-1)*100</f>
        <v>10.966800228371888</v>
      </c>
      <c r="X63" s="175">
        <f>(('Income - Continuing Ops'!Y39/'Income - Historical'!X43)^0.1-1)*100</f>
        <v>9.6997549622621868</v>
      </c>
      <c r="Y63" s="179">
        <f>('Income - Continuing Ops'!Z39/'Income - Continuing Ops'!Z38-1)*100</f>
        <v>11.568627450980419</v>
      </c>
      <c r="Z63" s="174">
        <f>(('Income - Continuing Ops'!Z39/'Income - Continuing Ops'!Z34)^0.2-1)*100</f>
        <v>-0.17482624443788675</v>
      </c>
      <c r="AA63" s="175">
        <f>(('Income - Continuing Ops'!Z39/'Income - Historical'!Y43)^0.1-1)*100</f>
        <v>1.8542671425267665</v>
      </c>
    </row>
    <row r="64" spans="1:29" ht="15" x14ac:dyDescent="0.2">
      <c r="A64" s="187">
        <v>2011</v>
      </c>
      <c r="B64" s="162">
        <f>'Income - Continuing Ops'!C40/'Income - Continuing Ops'!B40*100</f>
        <v>19.12085250666021</v>
      </c>
      <c r="C64" s="162">
        <f>'Income - Continuing Ops'!F40/'Income - Continuing Ops'!B40*100</f>
        <v>8.4917655606684441</v>
      </c>
      <c r="D64" s="185">
        <f>'Income - Continuing Ops'!N40/'Income - Continuing Ops'!B40*100</f>
        <v>5.4250423831436212</v>
      </c>
      <c r="E64" s="167">
        <v>10.8</v>
      </c>
      <c r="F64" s="185">
        <f t="shared" si="2"/>
        <v>3.8198778605455175E-2</v>
      </c>
      <c r="G64" s="162">
        <f>(('Income - Continuing Ops'!B40/'Income - Continuing Ops'!B39)-1)*100</f>
        <v>10.838198778605456</v>
      </c>
      <c r="H64" s="162" t="s">
        <v>224</v>
      </c>
      <c r="I64" s="419" t="s">
        <v>224</v>
      </c>
      <c r="J64" s="162">
        <f>+('Income - Continuing Ops'!F40/'Income - Continuing Ops'!F39-1)*100</f>
        <v>0.71813285457813514</v>
      </c>
      <c r="K64" s="162" t="s">
        <v>224</v>
      </c>
      <c r="L64" s="419" t="s">
        <v>224</v>
      </c>
      <c r="M64" s="162">
        <f>+('Income - Continuing Ops'!N40/'Income - Continuing Ops'!N39-1)*100</f>
        <v>5.2878965922444898</v>
      </c>
      <c r="N64" s="162" t="s">
        <v>224</v>
      </c>
      <c r="O64" s="419" t="s">
        <v>224</v>
      </c>
      <c r="P64" s="162">
        <f>('Income - Continuing Ops'!W40/'Income - Continuing Ops'!W39-1)*100</f>
        <v>9.800235017626413</v>
      </c>
      <c r="Q64" s="162" t="s">
        <v>224</v>
      </c>
      <c r="R64" s="419" t="s">
        <v>224</v>
      </c>
      <c r="S64" s="162">
        <f>('Cash Flow'!O54/'Cash Flow'!O53-1)*100</f>
        <v>-9.2689655172413907</v>
      </c>
      <c r="T64" s="167">
        <f>(('Cash Flow'!O54/'Cash Flow'!O49)^0.2-1)*100</f>
        <v>-7.239344855136598</v>
      </c>
      <c r="U64" s="185">
        <f>(('Cash Flow'!O54/'Cash Flow'!O44)^0.1-1)*100</f>
        <v>-4.7397720531813237</v>
      </c>
      <c r="V64" s="167">
        <f>+('Income - Continuing Ops'!Y40/'Income - Continuing Ops'!Y39-1)*100</f>
        <v>3.7735849056603765</v>
      </c>
      <c r="W64" s="162">
        <f>(('Income - Continuing Ops'!Y40/'Income - Continuing Ops'!Y35)^0.2-1)*100</f>
        <v>10.424025811293248</v>
      </c>
      <c r="X64" s="185">
        <f>(('Income - Continuing Ops'!Y40/'Income - Historical'!X44)^0.1-1)*100</f>
        <v>8.6463510264826802</v>
      </c>
      <c r="Y64" s="167">
        <f>('Income - Continuing Ops'!Z40/'Income - Continuing Ops'!Z39-1)*100</f>
        <v>1.2302284710017375</v>
      </c>
      <c r="Z64" s="162">
        <f>(('Income - Continuing Ops'!Z40/'Income - Continuing Ops'!Z35)^0.2-1)*100</f>
        <v>-0.73025306228493569</v>
      </c>
      <c r="AA64" s="185">
        <f>(('Income - Continuing Ops'!Z40/'Income - Historical'!Y44)^0.1-1)*100</f>
        <v>1.7377708734311881E-2</v>
      </c>
    </row>
    <row r="65" spans="1:27" ht="15" x14ac:dyDescent="0.2">
      <c r="A65" s="187">
        <v>2012</v>
      </c>
      <c r="B65" s="162">
        <f>'Income - Continuing Ops'!C41/'Income - Continuing Ops'!B41*100</f>
        <v>20.371943183482209</v>
      </c>
      <c r="C65" s="162">
        <f>'Income - Continuing Ops'!F41/'Income - Continuing Ops'!B41*100</f>
        <v>9.5006589544589257</v>
      </c>
      <c r="D65" s="163">
        <f>'Income - Continuing Ops'!N41/'Income - Continuing Ops'!B41*100</f>
        <v>5.9305901303265482</v>
      </c>
      <c r="E65" s="167">
        <v>1.1000000000000001</v>
      </c>
      <c r="F65" s="163">
        <f t="shared" ref="F65" si="3">+G65-E65</f>
        <v>2.2694599176556038</v>
      </c>
      <c r="G65" s="162">
        <f>(('Income - Continuing Ops'!B41/'Income - Continuing Ops'!B40)-1)*100</f>
        <v>3.3694599176556039</v>
      </c>
      <c r="H65" s="162" t="s">
        <v>224</v>
      </c>
      <c r="I65" s="163" t="s">
        <v>224</v>
      </c>
      <c r="J65" s="162">
        <f>+('Income - Continuing Ops'!F41/'Income - Continuing Ops'!F40-1)*100</f>
        <v>15.65062388591798</v>
      </c>
      <c r="K65" s="162" t="s">
        <v>224</v>
      </c>
      <c r="L65" s="163" t="s">
        <v>224</v>
      </c>
      <c r="M65" s="162">
        <f>+('Income - Continuing Ops'!N41/'Income - Continuing Ops'!N40-1)*100</f>
        <v>13.002232142857096</v>
      </c>
      <c r="N65" s="162" t="s">
        <v>224</v>
      </c>
      <c r="O65" s="163" t="s">
        <v>224</v>
      </c>
      <c r="P65" s="162">
        <f>('Income - Continuing Ops'!W41/'Income - Continuing Ops'!W40-1)*100</f>
        <v>13.776220034246522</v>
      </c>
      <c r="Q65" s="162" t="s">
        <v>224</v>
      </c>
      <c r="R65" s="163" t="s">
        <v>224</v>
      </c>
      <c r="S65" s="162">
        <f>('Cash Flow'!O55/'Cash Flow'!O54-1)*100</f>
        <v>36.728488902401949</v>
      </c>
      <c r="T65" s="167">
        <f>(('Cash Flow'!O55/'Cash Flow'!O50)^0.2-1)*100</f>
        <v>-6.0291072366459142</v>
      </c>
      <c r="U65" s="163">
        <f>(('Cash Flow'!O55/'Cash Flow'!O45)^0.1-1)*100</f>
        <v>-0.13683423090484759</v>
      </c>
      <c r="V65" s="167">
        <f>+('Income - Continuing Ops'!Y41/'Income - Continuing Ops'!Y40-1)*100</f>
        <v>3.6363636363636154</v>
      </c>
      <c r="W65" s="162">
        <f>(('Income - Continuing Ops'!Y41/'Income - Continuing Ops'!Y36)^0.2-1)*100</f>
        <v>7.8852443962371455</v>
      </c>
      <c r="X65" s="163">
        <f>(('Income - Continuing Ops'!Y41/'Income - Historical'!X45)^0.1-1)*100</f>
        <v>8.5909130346304643</v>
      </c>
      <c r="Y65" s="167">
        <f>('Income - Continuing Ops'!Z41/'Income - Continuing Ops'!Z40-1)*100</f>
        <v>18.142361111111114</v>
      </c>
      <c r="Z65" s="162">
        <f>(('Income - Continuing Ops'!Z41/'Income - Continuing Ops'!Z36)^0.2-1)*100</f>
        <v>9.3121227585969422</v>
      </c>
      <c r="AA65" s="163">
        <f>(('Income - Continuing Ops'!Z41/'Income - Historical'!Y45)^0.1-1)*100</f>
        <v>1.9498349048024277</v>
      </c>
    </row>
    <row r="66" spans="1:27" ht="15" x14ac:dyDescent="0.2">
      <c r="A66" s="187">
        <v>2013</v>
      </c>
      <c r="B66" s="162">
        <f>'Income - Continuing Ops'!C42/'Income - Continuing Ops'!B42*100</f>
        <v>20.415851834809619</v>
      </c>
      <c r="C66" s="162">
        <f>'Income - Continuing Ops'!F42/'Income - Continuing Ops'!B42*100</f>
        <v>9.5680432531922239</v>
      </c>
      <c r="D66" s="163">
        <f>'Income - Continuing Ops'!N42/'Income - Continuing Ops'!B42*100</f>
        <v>6.3413090992752785</v>
      </c>
      <c r="E66" s="167">
        <v>0.6</v>
      </c>
      <c r="F66" s="163">
        <f t="shared" ref="F66:F67" si="4">+G66-E66</f>
        <v>1.2362864255381472</v>
      </c>
      <c r="G66" s="162">
        <f>(('Income - Continuing Ops'!B42/'Income - Continuing Ops'!B41)-1)*100</f>
        <v>1.8362864255381472</v>
      </c>
      <c r="H66" s="162" t="s">
        <v>224</v>
      </c>
      <c r="I66" s="163" t="s">
        <v>224</v>
      </c>
      <c r="J66" s="162">
        <f>+('Income - Continuing Ops'!F42/'Income - Continuing Ops'!F41-1)*100</f>
        <v>2.5585696670776814</v>
      </c>
      <c r="K66" s="162" t="s">
        <v>224</v>
      </c>
      <c r="L66" s="163" t="s">
        <v>224</v>
      </c>
      <c r="M66" s="162">
        <f>+('Income - Continuing Ops'!N42/'Income - Continuing Ops'!N41-1)*100</f>
        <v>8.8888888888888786</v>
      </c>
      <c r="N66" s="162" t="s">
        <v>224</v>
      </c>
      <c r="O66" s="163" t="s">
        <v>224</v>
      </c>
      <c r="P66" s="162">
        <f>('Income - Continuing Ops'!W42/'Income - Continuing Ops'!W41-1)*100</f>
        <v>8.0012077294685735</v>
      </c>
      <c r="Q66" s="162" t="s">
        <v>224</v>
      </c>
      <c r="R66" s="163" t="s">
        <v>224</v>
      </c>
      <c r="S66" s="162">
        <f>('Cash Flow'!O56/'Cash Flow'!O55-1)*100</f>
        <v>-7.2937513898154505</v>
      </c>
      <c r="T66" s="167">
        <f>(('Cash Flow'!O56/'Cash Flow'!O51)^0.2-1)*100</f>
        <v>-0.90100577308517282</v>
      </c>
      <c r="U66" s="163">
        <f>(('Cash Flow'!O56/'Cash Flow'!O46)^0.1-1)*100</f>
        <v>0.53343185411915961</v>
      </c>
      <c r="V66" s="167">
        <f>+('Income - Continuing Ops'!Y42/'Income - Continuing Ops'!Y41-1)*100</f>
        <v>3.5087719298245723</v>
      </c>
      <c r="W66" s="162">
        <f>(('Income - Continuing Ops'!Y42/'Income - Continuing Ops'!Y37)^0.2-1)*100</f>
        <v>3.3656884345193427</v>
      </c>
      <c r="X66" s="163">
        <f>(('Income - Continuing Ops'!Y42/'Income - Historical'!X46)^0.1-1)*100</f>
        <v>8.1306527634017467</v>
      </c>
      <c r="Y66" s="167">
        <f>('Income - Continuing Ops'!Z42/'Income - Continuing Ops'!Z41-1)*100</f>
        <v>13.666421748714196</v>
      </c>
      <c r="Z66" s="162">
        <f>(('Income - Continuing Ops'!Z42/'Income - Continuing Ops'!Z37)^0.2-1)*100</f>
        <v>15.290230401608751</v>
      </c>
      <c r="AA66" s="163">
        <f>(('Income - Continuing Ops'!Z42/'Income - Historical'!Y46)^0.1-1)*100</f>
        <v>3.6445282146940317</v>
      </c>
    </row>
    <row r="67" spans="1:27" ht="15" x14ac:dyDescent="0.2">
      <c r="A67" s="187">
        <v>2014</v>
      </c>
      <c r="B67" s="162">
        <f>'Income - Continuing Ops'!C43/'Income - Continuing Ops'!B43*100</f>
        <v>20.897337598815536</v>
      </c>
      <c r="C67" s="162">
        <f>'Income - Continuing Ops'!F43/'Income - Continuing Ops'!B43*100</f>
        <v>10.176347724929274</v>
      </c>
      <c r="D67" s="163">
        <f>'Income - Continuing Ops'!N43/'Income - Continuing Ops'!B43*100</f>
        <v>6.7445734077148805</v>
      </c>
      <c r="E67" s="167">
        <v>5.4</v>
      </c>
      <c r="F67" s="163">
        <f t="shared" si="4"/>
        <v>3.3743011618543814</v>
      </c>
      <c r="G67" s="162">
        <f>(('Income - Continuing Ops'!B43/'Income - Continuing Ops'!B42)-1)*100</f>
        <v>8.7743011618543818</v>
      </c>
      <c r="H67" s="162">
        <f>(('Income - Continuing Ops'!B43/'Income - Continuing Ops'!B38)^0.2-1)*100</f>
        <v>7.189292108137213</v>
      </c>
      <c r="I67" s="163" t="s">
        <v>224</v>
      </c>
      <c r="J67" s="162">
        <f>+('Income - Continuing Ops'!F43/'Income - Continuing Ops'!F42-1)*100</f>
        <v>15.689810640216395</v>
      </c>
      <c r="K67" s="162">
        <f>(('Income - Continuing Ops'!F43/'Income - Continuing Ops'!F38)^0.2-1)*100</f>
        <v>11.158063476388502</v>
      </c>
      <c r="L67" s="163" t="s">
        <v>224</v>
      </c>
      <c r="M67" s="162">
        <f>+('Income - Continuing Ops'!N43/'Income - Continuing Ops'!N42-1)*100</f>
        <v>15.691609977324262</v>
      </c>
      <c r="N67" s="162">
        <f>(('Income - Continuing Ops'!N43/'Income - Continuing Ops'!N38)^0.2-1)*100</f>
        <v>15.745047731623551</v>
      </c>
      <c r="O67" s="163" t="s">
        <v>224</v>
      </c>
      <c r="P67" s="162">
        <f>('Income - Continuing Ops'!W43/'Income - Continuing Ops'!W42-1)*100</f>
        <v>18.923219194567963</v>
      </c>
      <c r="Q67" s="162">
        <f>(('Income - Continuing Ops'!W43/'Income - Continuing Ops'!W38)^0.2-1)*100</f>
        <v>18.341702068998742</v>
      </c>
      <c r="R67" s="163" t="s">
        <v>224</v>
      </c>
      <c r="S67" s="162">
        <f>('Cash Flow'!O57/'Cash Flow'!O56-1)*100</f>
        <v>-8.3952986327656234</v>
      </c>
      <c r="T67" s="167">
        <f>(('Cash Flow'!O57/'Cash Flow'!O52)^0.2-1)*100</f>
        <v>-7.5442055826219772</v>
      </c>
      <c r="U67" s="163">
        <f>(('Cash Flow'!O57/'Cash Flow'!O47)^0.1-1)*100</f>
        <v>1.0948211450826584</v>
      </c>
      <c r="V67" s="167">
        <f>+('Income - Continuing Ops'!Y43/'Income - Continuing Ops'!Y42-1)*100</f>
        <v>3.3898305084745894</v>
      </c>
      <c r="W67" s="162">
        <f>(('Income - Continuing Ops'!Y43/'Income - Continuing Ops'!Y38)^0.2-1)*100</f>
        <v>3.6458533984520258</v>
      </c>
      <c r="X67" s="163">
        <f>(('Income - Continuing Ops'!Y43/'Income - Historical'!X47)^0.1-1)*100</f>
        <v>7.7192159588882925</v>
      </c>
      <c r="Y67" s="167">
        <f>('Income - Continuing Ops'!Z43/'Income - Continuing Ops'!Z42-1)*100</f>
        <v>37.718164188752425</v>
      </c>
      <c r="Z67" s="162">
        <f>(('Income - Continuing Ops'!Z43/'Income - Continuing Ops'!Z38)^0.2-1)*100</f>
        <v>15.871405084226996</v>
      </c>
      <c r="AA67" s="163">
        <f>(('Income - Continuing Ops'!Z43/'Income - Historical'!Y47)^0.1-1)*100</f>
        <v>4.1294243325458169</v>
      </c>
    </row>
    <row r="68" spans="1:27" ht="15" x14ac:dyDescent="0.2">
      <c r="A68" s="359">
        <v>2015</v>
      </c>
      <c r="B68" s="174">
        <f>'Income - Continuing Ops'!C44/'Income - Continuing Ops'!B44*100</f>
        <v>23.77718778719494</v>
      </c>
      <c r="C68" s="174">
        <f>'Income - Continuing Ops'!F44/'Income - Continuing Ops'!B44*100</f>
        <v>13.009292351679774</v>
      </c>
      <c r="D68" s="175">
        <f>'Income - Continuing Ops'!N44/'Income - Continuing Ops'!B44*100</f>
        <v>8.6260594302052489</v>
      </c>
      <c r="E68" s="179">
        <v>0.3</v>
      </c>
      <c r="F68" s="175">
        <f t="shared" ref="F68" si="5">+G68-E68</f>
        <v>3.2666129074901411</v>
      </c>
      <c r="G68" s="174">
        <f>(('Income - Continuing Ops'!B44/'Income - Continuing Ops'!B43)-1)*100</f>
        <v>3.5666129074901409</v>
      </c>
      <c r="H68" s="174">
        <f>(('Income - Continuing Ops'!B44/'Income - Continuing Ops'!B39)^0.2-1)*100</f>
        <v>5.6199766379528171</v>
      </c>
      <c r="I68" s="175" t="s">
        <v>224</v>
      </c>
      <c r="J68" s="174">
        <f>+('Income - Continuing Ops'!F44/'Income - Continuing Ops'!F43-1)*100</f>
        <v>32.398025461158795</v>
      </c>
      <c r="K68" s="174">
        <f>(('Income - Continuing Ops'!F44/'Income - Continuing Ops'!F39)^0.2-1)*100</f>
        <v>12.844616247072139</v>
      </c>
      <c r="L68" s="175" t="s">
        <v>224</v>
      </c>
      <c r="M68" s="174">
        <f>+('Income - Continuing Ops'!N44/'Income - Continuing Ops'!N43-1)*100</f>
        <v>32.457859662877311</v>
      </c>
      <c r="N68" s="174">
        <f>(('Income - Continuing Ops'!N44/'Income - Continuing Ops'!N39)^0.2-1)*100</f>
        <v>14.700609903841301</v>
      </c>
      <c r="O68" s="175" t="s">
        <v>224</v>
      </c>
      <c r="P68" s="174">
        <f>('Income - Continuing Ops'!W44/'Income - Continuing Ops'!W43-1)*100</f>
        <v>32.735937744744788</v>
      </c>
      <c r="Q68" s="174">
        <f>(('Income - Continuing Ops'!W44/'Income - Continuing Ops'!W39)^0.2-1)*100</f>
        <v>16.323567345697644</v>
      </c>
      <c r="R68" s="175" t="s">
        <v>224</v>
      </c>
      <c r="S68" s="174">
        <f>('Cash Flow'!O58/'Cash Flow'!O57-1)*100</f>
        <v>-5.9701492537313605</v>
      </c>
      <c r="T68" s="179">
        <f>(('Cash Flow'!O58/'Cash Flow'!O53)^0.2-1)*100</f>
        <v>-0.18829396532255016</v>
      </c>
      <c r="U68" s="175">
        <f>(('Cash Flow'!O58/'Cash Flow'!O48)^0.1-1)*100</f>
        <v>-2.1941871865237106</v>
      </c>
      <c r="V68" s="179">
        <f>+('Income - Continuing Ops'!Y44/'Income - Continuing Ops'!Y43-1)*100</f>
        <v>3.2786885245901676</v>
      </c>
      <c r="W68" s="174">
        <f>(('Income - Continuing Ops'!Y44/'Income - Continuing Ops'!Y39)^0.2-1)*100</f>
        <v>3.517300006217261</v>
      </c>
      <c r="X68" s="175">
        <f>(('Income - Continuing Ops'!Y44/'Income - Historical'!X48)^0.1-1)*100</f>
        <v>7.1773462536293131</v>
      </c>
      <c r="Y68" s="179">
        <f>('Income - Continuing Ops'!Z44/'Income - Continuing Ops'!Z43-1)*100</f>
        <v>-1.3846514902604912</v>
      </c>
      <c r="Z68" s="174">
        <f>(('Income - Continuing Ops'!Z44/'Income - Continuing Ops'!Z39)^0.2-1)*100</f>
        <v>13.046405575400243</v>
      </c>
      <c r="AA68" s="175">
        <f>(('Income - Continuing Ops'!Z44/'Income - Historical'!Y48)^0.1-1)*100</f>
        <v>6.2303020752839444</v>
      </c>
    </row>
    <row r="69" spans="1:27" ht="15" x14ac:dyDescent="0.2">
      <c r="A69" s="187">
        <v>2016</v>
      </c>
      <c r="B69" s="162">
        <f>'Income - Continuing Ops'!C45/'Income - Continuing Ops'!B45*100</f>
        <v>23.979306114829729</v>
      </c>
      <c r="C69" s="162">
        <f>'Income - Continuing Ops'!F45/'Income - Continuing Ops'!B45*100</f>
        <v>13.117683138217021</v>
      </c>
      <c r="D69" s="163">
        <f>'Income - Continuing Ops'!N45/'Income - Continuing Ops'!B45*100</f>
        <v>9.2935811621643243</v>
      </c>
      <c r="E69" s="167">
        <v>-1.4</v>
      </c>
      <c r="F69" s="163">
        <f>+G69-E69</f>
        <v>-2.8709077912794769</v>
      </c>
      <c r="G69" s="162">
        <f>(('Income - Continuing Ops'!B45/'Income - Continuing Ops'!B44)-1)*100</f>
        <v>-4.2709077912794768</v>
      </c>
      <c r="H69" s="162">
        <f>(('Income - Continuing Ops'!B45/'Income - Continuing Ops'!B40)^0.2-1)*100</f>
        <v>2.569198843510101</v>
      </c>
      <c r="I69" s="163" t="s">
        <v>224</v>
      </c>
      <c r="J69" s="162">
        <f>+('Income - Continuing Ops'!F45/'Income - Continuing Ops'!F44-1)*100</f>
        <v>-3.4733124018838435</v>
      </c>
      <c r="K69" s="162">
        <f>(('Income - Continuing Ops'!F45/'Income - Continuing Ops'!F40)^0.2-1)*100</f>
        <v>11.889360431445994</v>
      </c>
      <c r="L69" s="163" t="s">
        <v>224</v>
      </c>
      <c r="M69" s="162">
        <f>+('Income - Continuing Ops'!N45/'Income - Continuing Ops'!N44-1)*100</f>
        <v>3.1370227878070533</v>
      </c>
      <c r="N69" s="162">
        <f>(('Income - Continuing Ops'!N45/'Income - Continuing Ops'!N40)^0.2-1)*100</f>
        <v>14.228100619248508</v>
      </c>
      <c r="O69" s="163" t="s">
        <v>224</v>
      </c>
      <c r="P69" s="162">
        <f>('Income - Continuing Ops'!W45/'Income - Continuing Ops'!W44-1)*100</f>
        <v>5.2734325455544795</v>
      </c>
      <c r="Q69" s="162">
        <f>(('Income - Continuing Ops'!W45/'Income - Continuing Ops'!W40)^0.2-1)*100</f>
        <v>15.348198262547385</v>
      </c>
      <c r="R69" s="163" t="s">
        <v>224</v>
      </c>
      <c r="S69" s="162">
        <f>('Cash Flow'!O59/'Cash Flow'!O58-1)*100</f>
        <v>53.884711779448644</v>
      </c>
      <c r="T69" s="167">
        <f>(('Cash Flow'!O59/'Cash Flow'!O54)^0.2-1)*100</f>
        <v>10.935207852715113</v>
      </c>
      <c r="U69" s="163">
        <f>(('Cash Flow'!O59/'Cash Flow'!O49)^0.1-1)*100</f>
        <v>1.4417200122782248</v>
      </c>
      <c r="V69" s="167">
        <f>+('Income - Continuing Ops'!Y45/'Income - Continuing Ops'!Y44-1)*100</f>
        <v>6.3492063492063489</v>
      </c>
      <c r="W69" s="162">
        <f>(('Income - Continuing Ops'!Y45/'Income - Continuing Ops'!Y40)^0.2-1)*100</f>
        <v>4.0261253434173971</v>
      </c>
      <c r="X69" s="163">
        <f>(('Income - Continuing Ops'!Y45/'Income - Historical'!X49)^0.1-1)*100</f>
        <v>7.1773462536293131</v>
      </c>
      <c r="Y69" s="167">
        <f>('Income - Continuing Ops'!Z45/'Income - Continuing Ops'!Z44-1)*100</f>
        <v>16.325559257496437</v>
      </c>
      <c r="Z69" s="162">
        <f>(('Income - Continuing Ops'!Z45/'Income - Continuing Ops'!Z40)^0.2-1)*100</f>
        <v>16.233079570872899</v>
      </c>
      <c r="AA69" s="163">
        <f>(('Income - Continuing Ops'!Z45/'Income - Historical'!Y49)^0.1-1)*100</f>
        <v>7.4170768304176571</v>
      </c>
    </row>
    <row r="70" spans="1:27" ht="15" x14ac:dyDescent="0.2">
      <c r="A70" s="359">
        <v>2017</v>
      </c>
      <c r="B70" s="174">
        <f>'Income - Continuing Ops'!C46/'Income - Continuing Ops'!B46*100</f>
        <v>22.33632537146914</v>
      </c>
      <c r="C70" s="174">
        <f>'Income - Continuing Ops'!F46/'Income - Continuing Ops'!B46*100</f>
        <v>11.859120645063136</v>
      </c>
      <c r="D70" s="175">
        <f>'Income - Continuing Ops'!N46/'Income - Continuing Ops'!B46*100</f>
        <v>8.5146305593589915</v>
      </c>
      <c r="E70" s="458">
        <v>5.6</v>
      </c>
      <c r="F70" s="177">
        <f t="shared" ref="F70" si="6">+G70-E70</f>
        <v>-0.42919544521186648</v>
      </c>
      <c r="G70" s="174">
        <f>(('Income - Continuing Ops'!B46/'Income - Continuing Ops'!B45)-1)*100</f>
        <v>5.1708045547881332</v>
      </c>
      <c r="H70" s="174">
        <f>(('Income - Continuing Ops'!B46/'Income - Continuing Ops'!B41)^0.2-1)*100</f>
        <v>2.9242125805910568</v>
      </c>
      <c r="I70" s="175" t="s">
        <v>224</v>
      </c>
      <c r="J70" s="174">
        <f>+('Income - Continuing Ops'!F46/'Income - Continuing Ops'!F45-1)*100</f>
        <v>-4.9196991258385943</v>
      </c>
      <c r="K70" s="174">
        <f>(('Income - Continuing Ops'!F46/'Income - Continuing Ops'!F41)^0.2-1)*100</f>
        <v>7.5913371239599625</v>
      </c>
      <c r="L70" s="175" t="s">
        <v>224</v>
      </c>
      <c r="M70" s="174">
        <f>+('Income - Continuing Ops'!N46/'Income - Continuing Ops'!N45-1)*100</f>
        <v>-3.6441893830703176</v>
      </c>
      <c r="N70" s="174">
        <f>(('Income - Continuing Ops'!N46/'Income - Continuing Ops'!N41)^0.2-1)*100</f>
        <v>10.644831782067786</v>
      </c>
      <c r="O70" s="175" t="s">
        <v>224</v>
      </c>
      <c r="P70" s="174">
        <f>('Income - Continuing Ops'!W46/'Income - Continuing Ops'!W45-1)*100</f>
        <v>-1.176470588235301</v>
      </c>
      <c r="Q70" s="174">
        <f>(('Income - Continuing Ops'!W46/'Income - Continuing Ops'!W41)^0.2-1)*100</f>
        <v>12.143107701926525</v>
      </c>
      <c r="R70" s="175" t="s">
        <v>224</v>
      </c>
      <c r="S70" s="174">
        <f>('Cash Flow'!O60/'Cash Flow'!O59-1)*100</f>
        <v>-19.706840390879478</v>
      </c>
      <c r="T70" s="179">
        <f>(('Cash Flow'!O60/'Cash Flow'!O55)^0.2-1)*100</f>
        <v>-0.2682801915898092</v>
      </c>
      <c r="U70" s="175">
        <f>(('Cash Flow'!O60/'Cash Flow'!O50)^0.1-1)*100</f>
        <v>-3.1915357666438826</v>
      </c>
      <c r="V70" s="179">
        <f>+('Income - Continuing Ops'!Y46/'Income - Continuing Ops'!Y45-1)*100</f>
        <v>5.9701492537313383</v>
      </c>
      <c r="W70" s="174">
        <f>(('Income - Continuing Ops'!Y46/'Income - Continuing Ops'!Y41)^0.2-1)*100</f>
        <v>4.4904738405944444</v>
      </c>
      <c r="X70" s="177">
        <f>(('Income - Continuing Ops'!Y46/'Income - Continuing Ops'!Y36)^0.1-1)*100</f>
        <v>6.1742921208856272</v>
      </c>
      <c r="Y70" s="179">
        <f>('Income - Continuing Ops'!Z46/'Income - Continuing Ops'!Z45-1)*100</f>
        <v>-2.3527004909983718</v>
      </c>
      <c r="Z70" s="174">
        <f>(('Income - Continuing Ops'!Z46/'Income - Continuing Ops'!Z41)^0.2-1)*100</f>
        <v>11.887266216899661</v>
      </c>
      <c r="AA70" s="177">
        <f>(('Income - Continuing Ops'!Z46/'Income - Continuing Ops'!Z36)^0.1-1)*100</f>
        <v>10.592199452879814</v>
      </c>
    </row>
    <row r="71" spans="1:27" ht="6.75" customHeight="1" x14ac:dyDescent="0.2">
      <c r="A71" s="192"/>
      <c r="B71" s="19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  <c r="R71" s="192"/>
      <c r="S71" s="192"/>
      <c r="T71" s="192"/>
      <c r="U71" s="192"/>
      <c r="V71" s="193"/>
      <c r="W71" s="192"/>
      <c r="X71" s="192"/>
      <c r="Y71" s="192"/>
      <c r="Z71" s="192"/>
      <c r="AA71" s="192"/>
    </row>
    <row r="72" spans="1:27" ht="15" customHeight="1" x14ac:dyDescent="0.2">
      <c r="A72" s="192"/>
      <c r="B72" s="192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  <c r="R72" s="192"/>
      <c r="S72" s="192"/>
      <c r="T72" s="192"/>
      <c r="U72" s="192"/>
      <c r="V72" s="193"/>
      <c r="W72" s="192"/>
      <c r="X72" s="192"/>
      <c r="Y72" s="192"/>
      <c r="Z72" s="192"/>
      <c r="AA72" s="192"/>
    </row>
    <row r="73" spans="1:27" ht="15" customHeight="1" x14ac:dyDescent="0.25">
      <c r="A73" s="425" t="s">
        <v>227</v>
      </c>
      <c r="B73" s="424"/>
      <c r="C73" s="424"/>
      <c r="D73" s="424"/>
      <c r="E73" s="424"/>
      <c r="F73" s="424"/>
      <c r="G73" s="424"/>
      <c r="H73" s="424"/>
      <c r="I73" s="424"/>
      <c r="J73" s="424"/>
      <c r="K73" s="424"/>
      <c r="L73" s="424"/>
      <c r="M73" s="424"/>
      <c r="N73" s="424"/>
      <c r="O73" s="424"/>
      <c r="P73" s="424"/>
      <c r="Q73" s="424"/>
      <c r="R73" s="424"/>
      <c r="S73" s="424"/>
      <c r="T73" s="424"/>
      <c r="U73" s="424"/>
      <c r="V73" s="424"/>
      <c r="W73" s="424"/>
      <c r="X73" s="424"/>
      <c r="Y73" s="424"/>
      <c r="Z73" s="424"/>
      <c r="AA73" s="428"/>
    </row>
    <row r="74" spans="1:27" ht="15" customHeight="1" x14ac:dyDescent="0.25">
      <c r="A74" s="425" t="s">
        <v>236</v>
      </c>
      <c r="B74" s="424"/>
      <c r="C74" s="424"/>
      <c r="D74" s="424"/>
      <c r="E74" s="424"/>
      <c r="F74" s="424"/>
      <c r="G74" s="424"/>
      <c r="H74" s="424"/>
      <c r="I74" s="424"/>
      <c r="J74" s="424"/>
      <c r="K74" s="424"/>
      <c r="L74" s="424"/>
      <c r="M74" s="424"/>
      <c r="N74" s="424"/>
      <c r="O74" s="424"/>
      <c r="P74" s="424"/>
      <c r="Q74" s="424"/>
      <c r="R74" s="424"/>
      <c r="S74" s="424"/>
      <c r="T74" s="424"/>
      <c r="U74" s="424"/>
      <c r="V74" s="424"/>
      <c r="W74" s="424"/>
      <c r="X74" s="424"/>
      <c r="Y74" s="424"/>
      <c r="Z74" s="424"/>
      <c r="AA74" s="428"/>
    </row>
    <row r="75" spans="1:27" ht="15" customHeight="1" x14ac:dyDescent="0.25">
      <c r="A75" s="425" t="s">
        <v>239</v>
      </c>
      <c r="B75" s="424"/>
      <c r="C75" s="424"/>
      <c r="D75" s="424"/>
      <c r="E75" s="424"/>
      <c r="F75" s="424"/>
      <c r="G75" s="424"/>
      <c r="H75" s="424"/>
      <c r="I75" s="424"/>
      <c r="J75" s="424"/>
      <c r="K75" s="424"/>
      <c r="L75" s="424"/>
      <c r="M75" s="424"/>
      <c r="N75" s="424"/>
      <c r="O75" s="424"/>
      <c r="P75" s="424"/>
      <c r="Q75" s="424"/>
      <c r="R75" s="424"/>
      <c r="S75" s="424"/>
      <c r="T75" s="424"/>
      <c r="U75" s="424"/>
      <c r="V75" s="424"/>
      <c r="W75" s="424"/>
      <c r="X75" s="424"/>
      <c r="Y75" s="424"/>
      <c r="Z75" s="424"/>
      <c r="AA75" s="428"/>
    </row>
    <row r="76" spans="1:27" ht="15" customHeight="1" x14ac:dyDescent="0.25">
      <c r="A76" s="425" t="s">
        <v>230</v>
      </c>
      <c r="B76" s="424"/>
      <c r="C76" s="424"/>
      <c r="D76" s="424"/>
      <c r="E76" s="424"/>
      <c r="F76" s="424"/>
      <c r="G76" s="424"/>
      <c r="H76" s="424"/>
      <c r="I76" s="424"/>
      <c r="J76" s="424"/>
      <c r="K76" s="424"/>
      <c r="L76" s="424"/>
      <c r="M76" s="424"/>
      <c r="N76" s="424"/>
      <c r="O76" s="424"/>
      <c r="P76" s="424"/>
      <c r="Q76" s="424"/>
      <c r="R76" s="424"/>
      <c r="S76" s="424"/>
      <c r="T76" s="424"/>
      <c r="U76" s="424"/>
      <c r="V76" s="424"/>
      <c r="W76" s="424"/>
      <c r="X76" s="424"/>
      <c r="Y76" s="424"/>
      <c r="Z76" s="424"/>
      <c r="AA76" s="428"/>
    </row>
    <row r="77" spans="1:27" ht="15" customHeight="1" x14ac:dyDescent="0.2">
      <c r="A77" s="192"/>
      <c r="B77" s="192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2"/>
      <c r="S77" s="192"/>
      <c r="T77" s="192"/>
      <c r="U77" s="192"/>
      <c r="V77" s="193"/>
      <c r="W77" s="192"/>
      <c r="X77" s="192"/>
      <c r="Y77" s="192"/>
      <c r="Z77" s="192"/>
      <c r="AA77" s="192"/>
    </row>
    <row r="78" spans="1:27" ht="14.25" x14ac:dyDescent="0.2">
      <c r="A78" s="194" t="s">
        <v>143</v>
      </c>
      <c r="B78" s="195"/>
      <c r="C78" s="195"/>
      <c r="D78" s="195"/>
      <c r="E78" s="195"/>
      <c r="F78" s="195"/>
      <c r="G78" s="195"/>
      <c r="H78" s="195"/>
      <c r="I78" s="195"/>
      <c r="J78" s="195"/>
      <c r="K78" s="195"/>
      <c r="L78" s="195"/>
      <c r="M78" s="195"/>
      <c r="N78" s="195"/>
      <c r="O78" s="195"/>
      <c r="P78" s="195"/>
      <c r="Q78" s="195"/>
      <c r="R78" s="195"/>
      <c r="S78" s="195"/>
      <c r="T78" s="195"/>
      <c r="U78" s="195"/>
      <c r="V78" s="196"/>
      <c r="W78" s="195"/>
      <c r="X78" s="195"/>
      <c r="Y78" s="195"/>
      <c r="Z78" s="195"/>
      <c r="AA78" s="195"/>
    </row>
    <row r="79" spans="1:27" ht="14.25" x14ac:dyDescent="0.2">
      <c r="A79" s="194"/>
      <c r="B79" s="195"/>
      <c r="C79" s="195"/>
      <c r="D79" s="195"/>
      <c r="E79" s="195"/>
      <c r="F79" s="195"/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195"/>
      <c r="R79" s="195"/>
      <c r="S79" s="195"/>
      <c r="T79" s="195"/>
      <c r="U79" s="195"/>
      <c r="V79" s="197"/>
      <c r="W79" s="195"/>
      <c r="X79" s="195"/>
      <c r="Y79" s="195"/>
      <c r="Z79" s="195"/>
      <c r="AA79" s="382"/>
    </row>
    <row r="80" spans="1:27" ht="14.25" x14ac:dyDescent="0.2">
      <c r="A80" s="194"/>
      <c r="B80" s="195"/>
      <c r="C80" s="195"/>
      <c r="D80" s="195"/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195"/>
      <c r="Q80" s="195"/>
      <c r="R80" s="195"/>
      <c r="S80" s="195"/>
      <c r="T80" s="195"/>
      <c r="U80" s="195"/>
      <c r="V80" s="197"/>
      <c r="W80" s="195"/>
      <c r="X80" s="195"/>
      <c r="Y80" s="195"/>
      <c r="Z80" s="195"/>
      <c r="AA80" s="195"/>
    </row>
    <row r="81" spans="1:22" x14ac:dyDescent="0.2">
      <c r="A81" s="29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22" x14ac:dyDescent="0.2">
      <c r="A82" s="9"/>
      <c r="V82"/>
    </row>
  </sheetData>
  <mergeCells count="23">
    <mergeCell ref="A9:A11"/>
    <mergeCell ref="B9:D9"/>
    <mergeCell ref="B10:B11"/>
    <mergeCell ref="D10:D11"/>
    <mergeCell ref="F4:F6"/>
    <mergeCell ref="G10:I10"/>
    <mergeCell ref="G9:AA9"/>
    <mergeCell ref="E9:F9"/>
    <mergeCell ref="E10:F10"/>
    <mergeCell ref="J5:K5"/>
    <mergeCell ref="M5:N5"/>
    <mergeCell ref="M10:O10"/>
    <mergeCell ref="V10:X10"/>
    <mergeCell ref="Y10:AA10"/>
    <mergeCell ref="J10:L10"/>
    <mergeCell ref="P10:R10"/>
    <mergeCell ref="S10:U10"/>
    <mergeCell ref="G4:AA4"/>
    <mergeCell ref="P5:Q5"/>
    <mergeCell ref="V5:W5"/>
    <mergeCell ref="Y5:Z5"/>
    <mergeCell ref="S5:T5"/>
    <mergeCell ref="G5:H5"/>
  </mergeCells>
  <phoneticPr fontId="0" type="noConversion"/>
  <printOptions horizontalCentered="1"/>
  <pageMargins left="0.55000000000000004" right="0.3" top="0.4" bottom="0.25" header="0.5" footer="0.5"/>
  <pageSetup scale="49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pageSetUpPr fitToPage="1"/>
  </sheetPr>
  <dimension ref="A1:AA91"/>
  <sheetViews>
    <sheetView zoomScaleNormal="100" zoomScaleSheetLayoutView="100" workbookViewId="0">
      <pane xSplit="1" ySplit="9" topLeftCell="B43" activePane="bottomRight" state="frozen"/>
      <selection pane="topRight" activeCell="B1" sqref="B1"/>
      <selection pane="bottomLeft" activeCell="A10" sqref="A10"/>
      <selection pane="bottomRight" activeCell="A66" sqref="A66"/>
    </sheetView>
  </sheetViews>
  <sheetFormatPr defaultRowHeight="12.75" x14ac:dyDescent="0.2"/>
  <cols>
    <col min="1" max="1" width="7.7109375" customWidth="1"/>
    <col min="3" max="3" width="10.42578125" customWidth="1"/>
    <col min="4" max="4" width="8.140625" customWidth="1"/>
    <col min="5" max="5" width="10.140625" customWidth="1"/>
    <col min="6" max="6" width="12.5703125" customWidth="1"/>
    <col min="7" max="7" width="10" customWidth="1"/>
    <col min="8" max="8" width="11.42578125" customWidth="1"/>
    <col min="9" max="10" width="9.7109375" customWidth="1"/>
    <col min="11" max="11" width="11.7109375" customWidth="1"/>
    <col min="12" max="12" width="11" customWidth="1"/>
    <col min="14" max="15" width="9.7109375" customWidth="1"/>
    <col min="16" max="16" width="8.85546875" customWidth="1"/>
    <col min="17" max="17" width="9.7109375" bestFit="1" customWidth="1"/>
    <col min="19" max="19" width="9" customWidth="1"/>
  </cols>
  <sheetData>
    <row r="1" spans="1:20" ht="30" x14ac:dyDescent="0.4">
      <c r="A1" s="40" t="s">
        <v>249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24" customHeight="1" x14ac:dyDescent="0.35">
      <c r="A2" s="48" t="s">
        <v>36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6" customHeight="1" x14ac:dyDescent="0.2"/>
    <row r="4" spans="1:20" x14ac:dyDescent="0.2">
      <c r="A4" s="464" t="s">
        <v>9</v>
      </c>
      <c r="B4" s="466" t="s">
        <v>57</v>
      </c>
      <c r="C4" s="471"/>
      <c r="D4" s="473" t="s">
        <v>26</v>
      </c>
      <c r="E4" s="474"/>
      <c r="F4" s="474"/>
      <c r="G4" s="474"/>
      <c r="H4" s="474"/>
      <c r="I4" s="474"/>
      <c r="J4" s="474"/>
      <c r="K4" s="474"/>
      <c r="L4" s="474"/>
      <c r="M4" s="474"/>
      <c r="N4" s="474"/>
      <c r="O4" s="474"/>
      <c r="P4" s="473" t="s">
        <v>27</v>
      </c>
      <c r="Q4" s="474"/>
      <c r="R4" s="474"/>
      <c r="S4" s="476"/>
      <c r="T4" s="262" t="s">
        <v>0</v>
      </c>
    </row>
    <row r="5" spans="1:20" ht="12.75" customHeight="1" x14ac:dyDescent="0.2">
      <c r="A5" s="464"/>
      <c r="B5" s="468" t="s">
        <v>28</v>
      </c>
      <c r="C5" s="460" t="s">
        <v>29</v>
      </c>
      <c r="D5" s="526" t="s">
        <v>30</v>
      </c>
      <c r="E5" s="538"/>
      <c r="F5" s="538"/>
      <c r="G5" s="538"/>
      <c r="H5" s="527"/>
      <c r="I5" s="539" t="s">
        <v>195</v>
      </c>
      <c r="J5" s="540"/>
      <c r="K5" s="463" t="s">
        <v>58</v>
      </c>
      <c r="L5" s="463" t="s">
        <v>139</v>
      </c>
      <c r="M5" s="463" t="s">
        <v>59</v>
      </c>
      <c r="N5" s="463" t="s">
        <v>60</v>
      </c>
      <c r="O5" s="529" t="s">
        <v>205</v>
      </c>
      <c r="P5" s="468" t="s">
        <v>115</v>
      </c>
      <c r="Q5" s="463" t="s">
        <v>129</v>
      </c>
      <c r="R5" s="463" t="s">
        <v>150</v>
      </c>
      <c r="S5" s="460" t="s">
        <v>31</v>
      </c>
      <c r="T5" s="534" t="s">
        <v>61</v>
      </c>
    </row>
    <row r="6" spans="1:20" ht="12.75" customHeight="1" x14ac:dyDescent="0.2">
      <c r="A6" s="464"/>
      <c r="B6" s="469"/>
      <c r="C6" s="461"/>
      <c r="D6" s="469" t="s">
        <v>62</v>
      </c>
      <c r="E6" s="464" t="s">
        <v>32</v>
      </c>
      <c r="F6" s="464" t="s">
        <v>67</v>
      </c>
      <c r="G6" s="544" t="s">
        <v>33</v>
      </c>
      <c r="H6" s="460" t="s">
        <v>63</v>
      </c>
      <c r="I6" s="541"/>
      <c r="J6" s="542"/>
      <c r="K6" s="464"/>
      <c r="L6" s="464"/>
      <c r="M6" s="464"/>
      <c r="N6" s="464"/>
      <c r="O6" s="530"/>
      <c r="P6" s="469"/>
      <c r="Q6" s="464"/>
      <c r="R6" s="464"/>
      <c r="S6" s="461"/>
      <c r="T6" s="535"/>
    </row>
    <row r="7" spans="1:20" ht="12.75" customHeight="1" x14ac:dyDescent="0.2">
      <c r="A7" s="464"/>
      <c r="B7" s="469"/>
      <c r="C7" s="461"/>
      <c r="D7" s="469"/>
      <c r="E7" s="464"/>
      <c r="F7" s="464"/>
      <c r="G7" s="544"/>
      <c r="H7" s="461"/>
      <c r="I7" s="529" t="s">
        <v>43</v>
      </c>
      <c r="J7" s="529" t="s">
        <v>197</v>
      </c>
      <c r="K7" s="464"/>
      <c r="L7" s="464"/>
      <c r="M7" s="464"/>
      <c r="N7" s="464"/>
      <c r="O7" s="530"/>
      <c r="P7" s="469"/>
      <c r="Q7" s="464"/>
      <c r="R7" s="464"/>
      <c r="S7" s="461"/>
      <c r="T7" s="535"/>
    </row>
    <row r="8" spans="1:20" x14ac:dyDescent="0.2">
      <c r="A8" s="533"/>
      <c r="B8" s="532"/>
      <c r="C8" s="537"/>
      <c r="D8" s="532"/>
      <c r="E8" s="42" t="s">
        <v>34</v>
      </c>
      <c r="F8" s="533"/>
      <c r="G8" s="528"/>
      <c r="H8" s="537"/>
      <c r="I8" s="531"/>
      <c r="J8" s="531"/>
      <c r="K8" s="533"/>
      <c r="L8" s="533"/>
      <c r="M8" s="43" t="s">
        <v>35</v>
      </c>
      <c r="N8" s="533"/>
      <c r="O8" s="531"/>
      <c r="P8" s="532"/>
      <c r="Q8" s="533"/>
      <c r="R8" s="533"/>
      <c r="S8" s="537"/>
      <c r="T8" s="536"/>
    </row>
    <row r="9" spans="1:20" ht="12.75" hidden="1" customHeight="1" x14ac:dyDescent="0.2">
      <c r="A9" s="11"/>
      <c r="B9" s="44"/>
      <c r="C9" s="29"/>
      <c r="D9" s="44"/>
      <c r="E9" s="28"/>
      <c r="F9" s="45"/>
      <c r="G9" s="45"/>
      <c r="H9" s="46"/>
      <c r="I9" s="28"/>
      <c r="J9" s="28"/>
      <c r="K9" s="28"/>
      <c r="L9" s="28"/>
      <c r="M9" s="3"/>
      <c r="N9" s="28"/>
      <c r="O9" s="28"/>
      <c r="P9" s="44"/>
      <c r="Q9" s="28"/>
      <c r="R9" s="28"/>
      <c r="S9" s="29"/>
      <c r="T9" s="263"/>
    </row>
    <row r="10" spans="1:20" ht="15" x14ac:dyDescent="0.2">
      <c r="A10" s="160">
        <v>1967</v>
      </c>
      <c r="B10" s="198">
        <v>6.3768833379750758</v>
      </c>
      <c r="C10" s="199">
        <v>4.5</v>
      </c>
      <c r="D10" s="200">
        <v>3.0830395319180855E-2</v>
      </c>
      <c r="E10" s="201">
        <v>2.0651833266538775</v>
      </c>
      <c r="F10" s="202">
        <v>6.3670418367320056E-2</v>
      </c>
      <c r="G10" s="201">
        <v>1.5587486047279575</v>
      </c>
      <c r="H10" s="203">
        <v>9.9246175792505456E-2</v>
      </c>
      <c r="I10" s="202"/>
      <c r="J10" s="202"/>
      <c r="K10" s="202">
        <f>+('Income - Historical'!M10+'Income - Historical'!J10*(1-Ratios!T10))/'Balance Sheet'!V9</f>
        <v>8.7255345119918684E-2</v>
      </c>
      <c r="L10" s="202"/>
      <c r="M10" s="204">
        <v>5.729166666666667</v>
      </c>
      <c r="N10" s="205">
        <v>7.1999999999999995E-2</v>
      </c>
      <c r="O10" s="206">
        <v>0.41249999999999998</v>
      </c>
      <c r="P10" s="207">
        <f>+('Balance Sheet'!K9+'Balance Sheet'!L9+'Balance Sheet'!M9)/'Balance Sheet'!G9</f>
        <v>0.35165660419370237</v>
      </c>
      <c r="Q10" s="208">
        <f>(+'Balance Sheet'!L9+'Balance Sheet'!I9)/('Balance Sheet'!P9+'Balance Sheet'!I9)</f>
        <v>0.27133481300403106</v>
      </c>
      <c r="R10" s="208">
        <f>+('Balance Sheet'!L9+'Balance Sheet'!I9-'Balance Sheet'!B9)/('Balance Sheet'!P9+'Balance Sheet'!I9-'Balance Sheet'!B9)</f>
        <v>0.22472537560697431</v>
      </c>
      <c r="S10" s="209">
        <v>8.34375</v>
      </c>
      <c r="T10" s="264">
        <v>0.41702127659574467</v>
      </c>
    </row>
    <row r="11" spans="1:20" ht="15" x14ac:dyDescent="0.2">
      <c r="A11" s="170">
        <v>1968</v>
      </c>
      <c r="B11" s="198">
        <v>2.1898441476293304</v>
      </c>
      <c r="C11" s="209">
        <v>3.9649697779336663</v>
      </c>
      <c r="D11" s="210">
        <v>3.3648851437146479E-2</v>
      </c>
      <c r="E11" s="201">
        <v>1.9745057866489857</v>
      </c>
      <c r="F11" s="202">
        <v>6.643985187673776E-2</v>
      </c>
      <c r="G11" s="201">
        <v>1.8174498176150995</v>
      </c>
      <c r="H11" s="211">
        <v>0.12075109667575126</v>
      </c>
      <c r="I11" s="331">
        <f>(('Income - Historical'!Y11-'Income - Historical'!Y10)+'Income - Historical'!X11)/'Income - Historical'!Y10</f>
        <v>2.7657894736842108</v>
      </c>
      <c r="J11" s="202"/>
      <c r="K11" s="202">
        <f>+('Income - Historical'!M11+'Income - Historical'!J11*(1-Ratios!T11))/'Balance Sheet'!V10</f>
        <v>0.10050186893926041</v>
      </c>
      <c r="L11" s="202">
        <f>+'Income - Historical'!I11/AVERAGE('Balance Sheet'!Q9:Q10)</f>
        <v>0.2009002081630504</v>
      </c>
      <c r="M11" s="201">
        <v>15.625</v>
      </c>
      <c r="N11" s="202">
        <v>2.2400000000000003E-2</v>
      </c>
      <c r="O11" s="212">
        <v>0.35</v>
      </c>
      <c r="P11" s="207">
        <f>+('Balance Sheet'!K10+'Balance Sheet'!L10+'Balance Sheet'!M10)/'Balance Sheet'!G10</f>
        <v>0.51414912648051792</v>
      </c>
      <c r="Q11" s="208">
        <f>(+'Balance Sheet'!L10+'Balance Sheet'!I10)/('Balance Sheet'!P10+'Balance Sheet'!I10)</f>
        <v>0.29627769183709901</v>
      </c>
      <c r="R11" s="208">
        <f>+('Balance Sheet'!L10+'Balance Sheet'!I10-'Balance Sheet'!B10)/('Balance Sheet'!P10+'Balance Sheet'!I10-'Balance Sheet'!B10)</f>
        <v>0.26125992678118837</v>
      </c>
      <c r="S11" s="209">
        <v>7.3016759776536313</v>
      </c>
      <c r="T11" s="265">
        <v>0.48315602836879429</v>
      </c>
    </row>
    <row r="12" spans="1:20" ht="15" x14ac:dyDescent="0.2">
      <c r="A12" s="170">
        <v>1969</v>
      </c>
      <c r="B12" s="198">
        <v>2.0874459091082387</v>
      </c>
      <c r="C12" s="209">
        <v>4.265579309943976</v>
      </c>
      <c r="D12" s="210">
        <v>2.9597552739263438E-2</v>
      </c>
      <c r="E12" s="201">
        <v>1.9494880376901536</v>
      </c>
      <c r="F12" s="202">
        <v>5.770007501009751E-2</v>
      </c>
      <c r="G12" s="201">
        <v>1.902114068992248</v>
      </c>
      <c r="H12" s="211">
        <v>0.1097521244586145</v>
      </c>
      <c r="I12" s="331">
        <f>(('Income - Historical'!Y12-'Income - Historical'!Y11)+'Income - Historical'!X12)/'Income - Historical'!Y11</f>
        <v>0.41642857142857131</v>
      </c>
      <c r="J12" s="331"/>
      <c r="K12" s="202">
        <f>+('Income - Historical'!M12+'Income - Historical'!J12*(1-Ratios!T12))/'Balance Sheet'!V11</f>
        <v>0.1021602043324919</v>
      </c>
      <c r="L12" s="202">
        <f>+'Income - Historical'!I12/AVERAGE('Balance Sheet'!Q10:Q11)</f>
        <v>0.17527710829828946</v>
      </c>
      <c r="M12" s="201">
        <v>22.71505376344086</v>
      </c>
      <c r="N12" s="202">
        <v>1.6757396449704143E-2</v>
      </c>
      <c r="O12" s="212">
        <v>0.38064516129032255</v>
      </c>
      <c r="P12" s="207">
        <f>+('Balance Sheet'!K11+'Balance Sheet'!L11+'Balance Sheet'!M11)/'Balance Sheet'!G11</f>
        <v>0.44651174368417229</v>
      </c>
      <c r="Q12" s="208">
        <f>(+'Balance Sheet'!L11+'Balance Sheet'!I11)/('Balance Sheet'!P11+'Balance Sheet'!I11)</f>
        <v>0.34892179922467759</v>
      </c>
      <c r="R12" s="208">
        <f>+('Balance Sheet'!L11+'Balance Sheet'!I11-'Balance Sheet'!B11)/('Balance Sheet'!P11+'Balance Sheet'!I11-'Balance Sheet'!B11)</f>
        <v>0.3091515831342494</v>
      </c>
      <c r="S12" s="209">
        <v>4.9424899135446694</v>
      </c>
      <c r="T12" s="265">
        <v>0.45540935672514626</v>
      </c>
    </row>
    <row r="13" spans="1:20" ht="15" x14ac:dyDescent="0.2">
      <c r="A13" s="172">
        <v>1970</v>
      </c>
      <c r="B13" s="213">
        <v>2.7571955106149537</v>
      </c>
      <c r="C13" s="214">
        <v>3.8169376247310693</v>
      </c>
      <c r="D13" s="215">
        <v>3.1747611464968156E-2</v>
      </c>
      <c r="E13" s="216">
        <v>1.6541022245490959</v>
      </c>
      <c r="F13" s="217">
        <v>5.2513794748324211E-2</v>
      </c>
      <c r="G13" s="216">
        <v>2.0657479963740162</v>
      </c>
      <c r="H13" s="218">
        <v>0.10848026628334707</v>
      </c>
      <c r="I13" s="332">
        <f>(('Income - Historical'!Y13-'Income - Historical'!Y12)+'Income - Historical'!X13)/'Income - Historical'!Y12</f>
        <v>-0.36743589743589744</v>
      </c>
      <c r="J13" s="334">
        <f>(('Income - Historical'!Y13+SUM('Income - Historical'!X11:X13))/'Income - Historical'!Y10)^(1/3)-1</f>
        <v>0.50582530117510571</v>
      </c>
      <c r="K13" s="217">
        <f>+('Income - Historical'!M13+'Income - Historical'!J13*(1-Ratios!T13))/'Balance Sheet'!V12</f>
        <v>9.2526561667087712E-2</v>
      </c>
      <c r="L13" s="217">
        <f>+'Income - Historical'!I13/AVERAGE('Balance Sheet'!Q11:Q12)</f>
        <v>0.15026345059366383</v>
      </c>
      <c r="M13" s="216">
        <v>13.010204081632653</v>
      </c>
      <c r="N13" s="217">
        <v>2.8235294117647056E-2</v>
      </c>
      <c r="O13" s="219">
        <v>0.36734693877551022</v>
      </c>
      <c r="P13" s="220">
        <f>+('Balance Sheet'!K12+'Balance Sheet'!L12+'Balance Sheet'!M12)/'Balance Sheet'!G12</f>
        <v>0.56570671265700212</v>
      </c>
      <c r="Q13" s="221">
        <f>(+'Balance Sheet'!L12+'Balance Sheet'!I12)/('Balance Sheet'!P12+'Balance Sheet'!I12)</f>
        <v>0.47831330891964557</v>
      </c>
      <c r="R13" s="221">
        <f>+('Balance Sheet'!L12+'Balance Sheet'!I12-'Balance Sheet'!B12)/('Balance Sheet'!P12+'Balance Sheet'!I12-'Balance Sheet'!B12)</f>
        <v>0.45387555982440969</v>
      </c>
      <c r="S13" s="214">
        <v>3.9031141868512109</v>
      </c>
      <c r="T13" s="266">
        <v>0.42967818831942789</v>
      </c>
    </row>
    <row r="14" spans="1:20" ht="15" x14ac:dyDescent="0.2">
      <c r="A14" s="170">
        <v>1971</v>
      </c>
      <c r="B14" s="198">
        <v>3.6274961731795448</v>
      </c>
      <c r="C14" s="209">
        <v>3.9840962814420817</v>
      </c>
      <c r="D14" s="210">
        <v>3.2476648129150694E-2</v>
      </c>
      <c r="E14" s="201">
        <v>1.6671662494475337</v>
      </c>
      <c r="F14" s="202">
        <v>5.4143971656103421E-2</v>
      </c>
      <c r="G14" s="201">
        <v>2.2739008620513199</v>
      </c>
      <c r="H14" s="211">
        <v>0.1231180238236958</v>
      </c>
      <c r="I14" s="331">
        <f>(('Income - Historical'!Y14-'Income - Historical'!Y13)+'Income - Historical'!X14)/'Income - Historical'!Y13</f>
        <v>0.36125000000000007</v>
      </c>
      <c r="J14" s="331">
        <f>(('Income - Historical'!Y14+SUM('Income - Historical'!X12:X14))/'Income - Historical'!Y11)^(1/3)-1</f>
        <v>6.6858844342181811E-2</v>
      </c>
      <c r="K14" s="202">
        <f>+('Income - Historical'!M14+'Income - Historical'!J14*(1-Ratios!T14))/'Balance Sheet'!V13</f>
        <v>8.5185195979435552E-2</v>
      </c>
      <c r="L14" s="202">
        <f>+'Income - Historical'!I14/AVERAGE('Balance Sheet'!Q12:Q13)</f>
        <v>0.1649703788280546</v>
      </c>
      <c r="M14" s="201">
        <v>14.978448275862069</v>
      </c>
      <c r="N14" s="202">
        <v>2.0719424460431655E-2</v>
      </c>
      <c r="O14" s="212">
        <v>0.31034482758620691</v>
      </c>
      <c r="P14" s="207">
        <f>+('Balance Sheet'!K13+'Balance Sheet'!L13+'Balance Sheet'!M13)/'Balance Sheet'!G13</f>
        <v>0.55521797544112195</v>
      </c>
      <c r="Q14" s="208">
        <f>(+'Balance Sheet'!L13+'Balance Sheet'!I13)/('Balance Sheet'!P13+'Balance Sheet'!I13)</f>
        <v>0.44763559633322059</v>
      </c>
      <c r="R14" s="208">
        <f>+('Balance Sheet'!L13+'Balance Sheet'!I13-'Balance Sheet'!B13)/('Balance Sheet'!P13+'Balance Sheet'!I13-'Balance Sheet'!B13)</f>
        <v>0.42528952227387107</v>
      </c>
      <c r="S14" s="209">
        <v>4.4659763313609471</v>
      </c>
      <c r="T14" s="265">
        <v>0.48655569782330343</v>
      </c>
    </row>
    <row r="15" spans="1:20" ht="15" x14ac:dyDescent="0.2">
      <c r="A15" s="170">
        <v>1972</v>
      </c>
      <c r="B15" s="198">
        <v>3.3583168108266199</v>
      </c>
      <c r="C15" s="209">
        <v>4.8264391891761829</v>
      </c>
      <c r="D15" s="210">
        <v>4.2090506556340078E-2</v>
      </c>
      <c r="E15" s="201">
        <v>1.8800622011860049</v>
      </c>
      <c r="F15" s="202">
        <v>7.9132770405346692E-2</v>
      </c>
      <c r="G15" s="201">
        <v>2.0032460715319824</v>
      </c>
      <c r="H15" s="211">
        <v>0.15852241144395307</v>
      </c>
      <c r="I15" s="331">
        <f>(('Income - Historical'!Y15-'Income - Historical'!Y14)+'Income - Historical'!X15)/'Income - Historical'!Y14</f>
        <v>1.0215625000000002</v>
      </c>
      <c r="J15" s="331">
        <f>(('Income - Historical'!Y15+SUM('Income - Historical'!X13:X15))/'Income - Historical'!Y12)^(1/3)-1</f>
        <v>0.19186087475957314</v>
      </c>
      <c r="K15" s="202">
        <f>+('Income - Historical'!M15+'Income - Historical'!J15*(1-Ratios!T15))/'Balance Sheet'!V14</f>
        <v>0.10784834137659552</v>
      </c>
      <c r="L15" s="202">
        <f>+'Income - Historical'!I15/AVERAGE('Balance Sheet'!Q13:Q14)</f>
        <v>0.21007615395972684</v>
      </c>
      <c r="M15" s="201">
        <v>32.359813084112147</v>
      </c>
      <c r="N15" s="202">
        <v>7.2202166064981952E-3</v>
      </c>
      <c r="O15" s="212">
        <v>0.23364485981308411</v>
      </c>
      <c r="P15" s="207">
        <f>+('Balance Sheet'!K14+'Balance Sheet'!L14+'Balance Sheet'!M14)/'Balance Sheet'!G14</f>
        <v>0.46843103365050809</v>
      </c>
      <c r="Q15" s="208">
        <f>(+'Balance Sheet'!L14+'Balance Sheet'!I14)/('Balance Sheet'!P14+'Balance Sheet'!I14)</f>
        <v>0.35682154326812332</v>
      </c>
      <c r="R15" s="208">
        <f>+('Balance Sheet'!L14+'Balance Sheet'!I14-'Balance Sheet'!B14)/('Balance Sheet'!P14+'Balance Sheet'!I14-'Balance Sheet'!B14)</f>
        <v>0.32947902572264876</v>
      </c>
      <c r="S15" s="209">
        <v>7.9094830633284232</v>
      </c>
      <c r="T15" s="265">
        <v>0.47527706734867858</v>
      </c>
    </row>
    <row r="16" spans="1:20" ht="15" x14ac:dyDescent="0.2">
      <c r="A16" s="170">
        <v>1973</v>
      </c>
      <c r="B16" s="198">
        <v>2.640708918999441</v>
      </c>
      <c r="C16" s="209">
        <v>4.3952275593906487</v>
      </c>
      <c r="D16" s="210">
        <v>4.4943000012166487E-2</v>
      </c>
      <c r="E16" s="201">
        <v>1.7782298395114737</v>
      </c>
      <c r="F16" s="202">
        <v>7.9918983698798976E-2</v>
      </c>
      <c r="G16" s="201">
        <v>2.0463723382373216</v>
      </c>
      <c r="H16" s="211">
        <v>0.16354399754126164</v>
      </c>
      <c r="I16" s="331">
        <f>(('Income - Historical'!Y16-'Income - Historical'!Y15)+'Income - Historical'!X16)/'Income - Historical'!Y15</f>
        <v>-0.56687500000000002</v>
      </c>
      <c r="J16" s="331">
        <f>(('Income - Historical'!Y16+SUM('Income - Historical'!X14:X16))/'Income - Historical'!Y13)^(1/3)-1</f>
        <v>6.6091269527671859E-2</v>
      </c>
      <c r="K16" s="202">
        <f>+('Income - Historical'!M16+'Income - Historical'!J16*(1-Ratios!T16))/'Balance Sheet'!V15</f>
        <v>0.11971250727865677</v>
      </c>
      <c r="L16" s="202">
        <f>+'Income - Historical'!I16/AVERAGE('Balance Sheet'!Q14:Q15)</f>
        <v>0.22099357038759057</v>
      </c>
      <c r="M16" s="201">
        <v>6.8576388888888893</v>
      </c>
      <c r="N16" s="202">
        <v>2.6329113924050632E-2</v>
      </c>
      <c r="O16" s="212">
        <v>0.18055555555555558</v>
      </c>
      <c r="P16" s="207">
        <f>+('Balance Sheet'!K15+'Balance Sheet'!L15+'Balance Sheet'!M15)/'Balance Sheet'!G15</f>
        <v>0.54264871123724234</v>
      </c>
      <c r="Q16" s="208">
        <f>(+'Balance Sheet'!L15+'Balance Sheet'!I15)/('Balance Sheet'!P15+'Balance Sheet'!I15)</f>
        <v>0.44180532996889932</v>
      </c>
      <c r="R16" s="208">
        <f>+('Balance Sheet'!L15+'Balance Sheet'!I15-'Balance Sheet'!B15)/('Balance Sheet'!P15+'Balance Sheet'!I15-'Balance Sheet'!B15)</f>
        <v>0.42072997889167779</v>
      </c>
      <c r="S16" s="209">
        <v>5.7666259437199727</v>
      </c>
      <c r="T16" s="265">
        <v>0.46810655147588187</v>
      </c>
    </row>
    <row r="17" spans="1:20" ht="15" x14ac:dyDescent="0.2">
      <c r="A17" s="170">
        <v>1974</v>
      </c>
      <c r="B17" s="198">
        <v>3.3734770630186564</v>
      </c>
      <c r="C17" s="209">
        <v>3.83134929582666</v>
      </c>
      <c r="D17" s="210">
        <v>3.4731198745523509E-2</v>
      </c>
      <c r="E17" s="201">
        <v>1.6246244189956331</v>
      </c>
      <c r="F17" s="202">
        <v>5.6425153582967992E-2</v>
      </c>
      <c r="G17" s="201">
        <v>2.2569905054324848</v>
      </c>
      <c r="H17" s="211">
        <v>0.1273510359043285</v>
      </c>
      <c r="I17" s="331">
        <f>(('Income - Historical'!Y17-'Income - Historical'!Y16)+'Income - Historical'!X17)/'Income - Historical'!Y16</f>
        <v>-0.4144444444444445</v>
      </c>
      <c r="J17" s="331">
        <f>(('Income - Historical'!Y17+SUM('Income - Historical'!X15:X17))/'Income - Historical'!Y14)^(1/3)-1</f>
        <v>-0.18661831411113516</v>
      </c>
      <c r="K17" s="202">
        <f>+('Income - Historical'!M17+'Income - Historical'!J17*(1-Ratios!T17))/'Balance Sheet'!V16</f>
        <v>9.8437561485223812E-2</v>
      </c>
      <c r="L17" s="202">
        <f>+'Income - Historical'!I17/AVERAGE('Balance Sheet'!Q15:Q16)</f>
        <v>0.19398422353101585</v>
      </c>
      <c r="M17" s="201">
        <v>4.2</v>
      </c>
      <c r="N17" s="202">
        <v>5.5238095238095232E-2</v>
      </c>
      <c r="O17" s="212">
        <v>0.23199999999999998</v>
      </c>
      <c r="P17" s="207">
        <f>+('Balance Sheet'!K16+'Balance Sheet'!L16+'Balance Sheet'!M16)/'Balance Sheet'!G16</f>
        <v>0.5690940826154024</v>
      </c>
      <c r="Q17" s="208">
        <f>(+'Balance Sheet'!L16+'Balance Sheet'!I16)/('Balance Sheet'!P16+'Balance Sheet'!I16)</f>
        <v>0.49298668439007481</v>
      </c>
      <c r="R17" s="208">
        <f>+('Balance Sheet'!L16+'Balance Sheet'!I16-'Balance Sheet'!B16)/('Balance Sheet'!P16+'Balance Sheet'!I16-'Balance Sheet'!B16)</f>
        <v>0.45728177403924603</v>
      </c>
      <c r="S17" s="209">
        <v>3.4074479737130341</v>
      </c>
      <c r="T17" s="265">
        <v>0.50288140734000608</v>
      </c>
    </row>
    <row r="18" spans="1:20" ht="15" x14ac:dyDescent="0.2">
      <c r="A18" s="172">
        <v>1975</v>
      </c>
      <c r="B18" s="213">
        <v>2.6262497503923132</v>
      </c>
      <c r="C18" s="214">
        <v>3.9913554362861912</v>
      </c>
      <c r="D18" s="215">
        <v>3.2853582871382798E-2</v>
      </c>
      <c r="E18" s="216">
        <v>1.612328683620015</v>
      </c>
      <c r="F18" s="217">
        <v>5.2970774023217704E-2</v>
      </c>
      <c r="G18" s="216">
        <v>2.1544346503014435</v>
      </c>
      <c r="H18" s="218">
        <v>0.11412207100890782</v>
      </c>
      <c r="I18" s="332">
        <f>(('Income - Historical'!Y18-'Income - Historical'!Y17)+'Income - Historical'!X18)/'Income - Historical'!Y17</f>
        <v>0.45933333333333337</v>
      </c>
      <c r="J18" s="334">
        <f>(('Income - Historical'!Y18+SUM('Income - Historical'!X16:X18))/'Income - Historical'!Y15)^(1/3)-1</f>
        <v>-0.28473170940132675</v>
      </c>
      <c r="K18" s="217">
        <f>+('Income - Historical'!M18+'Income - Historical'!J18*(1-Ratios!T18))/'Balance Sheet'!V17</f>
        <v>8.4012577183390433E-2</v>
      </c>
      <c r="L18" s="217">
        <f>+'Income - Historical'!I18/AVERAGE('Balance Sheet'!Q16:Q17)</f>
        <v>0.17078421582867104</v>
      </c>
      <c r="M18" s="216">
        <v>6.1991869918699187</v>
      </c>
      <c r="N18" s="217">
        <v>4.1967213114754098E-2</v>
      </c>
      <c r="O18" s="219">
        <v>0.26016260162601629</v>
      </c>
      <c r="P18" s="220">
        <f>+('Balance Sheet'!K17+'Balance Sheet'!L17+'Balance Sheet'!M17)/'Balance Sheet'!G17</f>
        <v>0.50059069373037257</v>
      </c>
      <c r="Q18" s="221">
        <f>(+'Balance Sheet'!L17+'Balance Sheet'!I17)/('Balance Sheet'!P17+'Balance Sheet'!I17)</f>
        <v>0.38789128917939014</v>
      </c>
      <c r="R18" s="221">
        <f>+('Balance Sheet'!L17+'Balance Sheet'!I17-'Balance Sheet'!B17)/('Balance Sheet'!P17+'Balance Sheet'!I17-'Balance Sheet'!B17)</f>
        <v>0.36817975211387621</v>
      </c>
      <c r="S18" s="214">
        <v>4.382397572078907</v>
      </c>
      <c r="T18" s="266">
        <v>0.51697323164348741</v>
      </c>
    </row>
    <row r="19" spans="1:20" ht="15" x14ac:dyDescent="0.2">
      <c r="A19" s="170">
        <v>1976</v>
      </c>
      <c r="B19" s="198">
        <v>2.6756271246316055</v>
      </c>
      <c r="C19" s="209">
        <v>4.4696068451617723</v>
      </c>
      <c r="D19" s="210">
        <v>4.5049790979845697E-2</v>
      </c>
      <c r="E19" s="201">
        <v>1.8233724520046297</v>
      </c>
      <c r="F19" s="202">
        <v>8.21425478412173E-2</v>
      </c>
      <c r="G19" s="201">
        <v>2.0276940322545451</v>
      </c>
      <c r="H19" s="211">
        <v>0.16655995405181978</v>
      </c>
      <c r="I19" s="331">
        <f>(('Income - Historical'!Y19-'Income - Historical'!Y18)+'Income - Historical'!X19)/'Income - Historical'!Y18</f>
        <v>0.7142857142857143</v>
      </c>
      <c r="J19" s="331">
        <f>(('Income - Historical'!Y19+SUM('Income - Historical'!X17:X19))/'Income - Historical'!Y16)^(1/3)-1</f>
        <v>0.11770157268747394</v>
      </c>
      <c r="K19" s="202">
        <f>+('Income - Historical'!M19+'Income - Historical'!J19*(1-Ratios!T19))/'Balance Sheet'!V18</f>
        <v>0.11655759145613037</v>
      </c>
      <c r="L19" s="202">
        <f>+'Income - Historical'!I19/AVERAGE('Balance Sheet'!Q17:Q18)</f>
        <v>0.2349273485221256</v>
      </c>
      <c r="M19" s="201">
        <v>6.4070351758793969</v>
      </c>
      <c r="N19" s="202">
        <v>2.8235294117647056E-2</v>
      </c>
      <c r="O19" s="212">
        <v>0.18090452261306533</v>
      </c>
      <c r="P19" s="207">
        <f>+('Balance Sheet'!K18+'Balance Sheet'!L18+'Balance Sheet'!M18)/'Balance Sheet'!G18</f>
        <v>0.51211267156661766</v>
      </c>
      <c r="Q19" s="208">
        <f>(+'Balance Sheet'!L18+'Balance Sheet'!I18)/('Balance Sheet'!P18+'Balance Sheet'!I18)</f>
        <v>0.38483423664201782</v>
      </c>
      <c r="R19" s="208">
        <f>+('Balance Sheet'!L18+'Balance Sheet'!I18-'Balance Sheet'!B18)/('Balance Sheet'!P18+'Balance Sheet'!I18-'Balance Sheet'!B18)</f>
        <v>0.35907931526245046</v>
      </c>
      <c r="S19" s="209">
        <v>8.4663461538461533</v>
      </c>
      <c r="T19" s="265">
        <v>0.51228037898997336</v>
      </c>
    </row>
    <row r="20" spans="1:20" ht="15" x14ac:dyDescent="0.2">
      <c r="A20" s="170">
        <v>1977</v>
      </c>
      <c r="B20" s="198">
        <v>2.6723159097676406</v>
      </c>
      <c r="C20" s="209">
        <v>5.2518382623058395</v>
      </c>
      <c r="D20" s="210">
        <v>4.1471188169301378E-2</v>
      </c>
      <c r="E20" s="201">
        <v>2.1426035408244366</v>
      </c>
      <c r="F20" s="202">
        <v>8.8856314613741619E-2</v>
      </c>
      <c r="G20" s="201">
        <v>1.9909899946809464</v>
      </c>
      <c r="H20" s="211">
        <v>0.17691203336018194</v>
      </c>
      <c r="I20" s="331">
        <f>(('Income - Historical'!Y20-'Income - Historical'!Y19)+'Income - Historical'!X20)/'Income - Historical'!Y19</f>
        <v>0.37771428571428567</v>
      </c>
      <c r="J20" s="331">
        <f>(('Income - Historical'!Y20+SUM('Income - Historical'!X18:X20))/'Income - Historical'!Y17)^(1/3)-1</f>
        <v>0.49489623432644314</v>
      </c>
      <c r="K20" s="202">
        <f>+('Income - Historical'!M20+'Income - Historical'!J20*(1-Ratios!T20))/'Balance Sheet'!V19</f>
        <v>0.12790901967372692</v>
      </c>
      <c r="L20" s="202">
        <f>+'Income - Historical'!I20/AVERAGE('Balance Sheet'!Q18:Q19)</f>
        <v>0.24657333949201124</v>
      </c>
      <c r="M20" s="201">
        <v>6.8930041152263373</v>
      </c>
      <c r="N20" s="202">
        <v>2.6268656716417909E-2</v>
      </c>
      <c r="O20" s="212">
        <v>0.18106995884773661</v>
      </c>
      <c r="P20" s="207">
        <f>+('Balance Sheet'!K19+'Balance Sheet'!L19+'Balance Sheet'!M19)/'Balance Sheet'!G19</f>
        <v>0.48461109322549067</v>
      </c>
      <c r="Q20" s="208">
        <f>(+'Balance Sheet'!L19+'Balance Sheet'!I19)/('Balance Sheet'!P19+'Balance Sheet'!I19)</f>
        <v>0.2484193216041255</v>
      </c>
      <c r="R20" s="208">
        <f>+('Balance Sheet'!L19+'Balance Sheet'!I19-'Balance Sheet'!B19)/('Balance Sheet'!P19+'Balance Sheet'!I19-'Balance Sheet'!B19)</f>
        <v>0.23708507664483108</v>
      </c>
      <c r="S20" s="209">
        <v>7.866023579849946</v>
      </c>
      <c r="T20" s="265">
        <v>0.49219481735872617</v>
      </c>
    </row>
    <row r="21" spans="1:20" ht="15" x14ac:dyDescent="0.2">
      <c r="A21" s="170">
        <v>1978</v>
      </c>
      <c r="B21" s="198">
        <v>2.2852622494965957</v>
      </c>
      <c r="C21" s="209">
        <v>5.4244529768596941</v>
      </c>
      <c r="D21" s="210">
        <v>4.9324335601310713E-2</v>
      </c>
      <c r="E21" s="201">
        <v>2.134038030051471</v>
      </c>
      <c r="F21" s="202">
        <v>0.10526000798021876</v>
      </c>
      <c r="G21" s="201">
        <v>1.9491152712245905</v>
      </c>
      <c r="H21" s="211">
        <v>0.20516388900346663</v>
      </c>
      <c r="I21" s="331">
        <f>(('Income - Historical'!Y21-'Income - Historical'!Y20)+'Income - Historical'!X21)/'Income - Historical'!Y20</f>
        <v>0.22276595744680872</v>
      </c>
      <c r="J21" s="331">
        <f>(('Income - Historical'!Y21+SUM('Income - Historical'!X19:X21))/'Income - Historical'!Y18)^(1/3)-1</f>
        <v>0.41653538630793818</v>
      </c>
      <c r="K21" s="202">
        <f>+('Income - Historical'!M21+'Income - Historical'!J21*(1-Ratios!T21))/'Balance Sheet'!V20</f>
        <v>0.15575104580189431</v>
      </c>
      <c r="L21" s="202">
        <f>+'Income - Historical'!I21/AVERAGE('Balance Sheet'!Q19:Q20)</f>
        <v>0.2740043846726205</v>
      </c>
      <c r="M21" s="201">
        <v>6.0795454545454541</v>
      </c>
      <c r="N21" s="202">
        <v>2.6392523364485981E-2</v>
      </c>
      <c r="O21" s="212">
        <v>0.16045454545454543</v>
      </c>
      <c r="P21" s="207">
        <f>+('Balance Sheet'!K20+'Balance Sheet'!L20+'Balance Sheet'!M20)/'Balance Sheet'!G20</f>
        <v>0.48889179015166356</v>
      </c>
      <c r="Q21" s="208">
        <f>(+'Balance Sheet'!L20+'Balance Sheet'!I20)/('Balance Sheet'!P20+'Balance Sheet'!I20)</f>
        <v>0.22983870967741937</v>
      </c>
      <c r="R21" s="208">
        <f>+('Balance Sheet'!L20+'Balance Sheet'!I20-'Balance Sheet'!B20)/('Balance Sheet'!P20+'Balance Sheet'!I20-'Balance Sheet'!B20)</f>
        <v>0.22086858586968466</v>
      </c>
      <c r="S21" s="209">
        <v>7.3384494293585201</v>
      </c>
      <c r="T21" s="265">
        <v>0.44952191729790136</v>
      </c>
    </row>
    <row r="22" spans="1:20" ht="15" x14ac:dyDescent="0.2">
      <c r="A22" s="170">
        <v>1979</v>
      </c>
      <c r="B22" s="198">
        <v>2.3474732262382862</v>
      </c>
      <c r="C22" s="209">
        <v>6.400888905214055</v>
      </c>
      <c r="D22" s="210">
        <v>3.2057583451745905E-2</v>
      </c>
      <c r="E22" s="201">
        <v>2.0998336920367837</v>
      </c>
      <c r="F22" s="202">
        <v>6.7315593817256908E-2</v>
      </c>
      <c r="G22" s="201">
        <v>2.0598696208526031</v>
      </c>
      <c r="H22" s="211">
        <v>0.13866134671382083</v>
      </c>
      <c r="I22" s="331">
        <f>(('Income - Historical'!Y22-'Income - Historical'!Y21)+'Income - Historical'!X22)/'Income - Historical'!Y21</f>
        <v>-0.14589285714285719</v>
      </c>
      <c r="J22" s="331">
        <f>(('Income - Historical'!Y22+SUM('Income - Historical'!X20:X22))/'Income - Historical'!Y19)^(1/3)-1</f>
        <v>0.13013874909649759</v>
      </c>
      <c r="K22" s="202">
        <f>+('Income - Historical'!M22+'Income - Historical'!J22*(1-Ratios!T22))/'Balance Sheet'!V21</f>
        <v>0.1135604514208135</v>
      </c>
      <c r="L22" s="202">
        <f>+'Income - Historical'!I22/AVERAGE('Balance Sheet'!Q20:Q21)</f>
        <v>0.19354798967579789</v>
      </c>
      <c r="M22" s="201">
        <v>6.5441176470588234</v>
      </c>
      <c r="N22" s="202">
        <v>3.9550561797752806E-2</v>
      </c>
      <c r="O22" s="212">
        <v>0.25882352941176473</v>
      </c>
      <c r="P22" s="207">
        <f>+('Balance Sheet'!K21+'Balance Sheet'!L21+'Balance Sheet'!M21)/'Balance Sheet'!G21</f>
        <v>0.53547624548993122</v>
      </c>
      <c r="Q22" s="208">
        <f>(+'Balance Sheet'!L21+'Balance Sheet'!I21)/('Balance Sheet'!P21+'Balance Sheet'!I21)</f>
        <v>0.40020887273993166</v>
      </c>
      <c r="R22" s="208">
        <f>+('Balance Sheet'!L21+'Balance Sheet'!I21-'Balance Sheet'!B21)/('Balance Sheet'!P21+'Balance Sheet'!I21-'Balance Sheet'!B21)</f>
        <v>0.38417719398183825</v>
      </c>
      <c r="S22" s="209">
        <v>4.148402429363613</v>
      </c>
      <c r="T22" s="265">
        <v>0.42288014761385556</v>
      </c>
    </row>
    <row r="23" spans="1:20" ht="15" x14ac:dyDescent="0.2">
      <c r="A23" s="172">
        <v>1980</v>
      </c>
      <c r="B23" s="213">
        <v>2.0535629928413099</v>
      </c>
      <c r="C23" s="214">
        <v>6.7575229677443014</v>
      </c>
      <c r="D23" s="215">
        <v>3.662835850851244E-2</v>
      </c>
      <c r="E23" s="216">
        <v>2.0438840163550673</v>
      </c>
      <c r="F23" s="217">
        <v>7.4864116500871714E-2</v>
      </c>
      <c r="G23" s="216">
        <v>2.0129877123854487</v>
      </c>
      <c r="H23" s="218">
        <v>0.15070054661484747</v>
      </c>
      <c r="I23" s="332">
        <f>(('Income - Historical'!Y23-'Income - Historical'!Y22)+'Income - Historical'!X23)/'Income - Historical'!Y22</f>
        <v>0.15499999999999997</v>
      </c>
      <c r="J23" s="334">
        <f>(('Income - Historical'!Y23+SUM('Income - Historical'!X21:X23))/'Income - Historical'!Y20)^(1/3)-1</f>
        <v>6.2846950425554438E-2</v>
      </c>
      <c r="K23" s="217">
        <f>+('Income - Historical'!M23+'Income - Historical'!J23*(1-Ratios!T23))/'Balance Sheet'!V22</f>
        <v>0.12005125445321746</v>
      </c>
      <c r="L23" s="217">
        <f>+'Income - Historical'!I23/AVERAGE('Balance Sheet'!Q21:Q22)</f>
        <v>0.20651061762268141</v>
      </c>
      <c r="M23" s="216">
        <v>5.9466019417475726</v>
      </c>
      <c r="N23" s="217">
        <v>4.1632653061224489E-2</v>
      </c>
      <c r="O23" s="219">
        <v>0.24757281553398058</v>
      </c>
      <c r="P23" s="220">
        <f>+('Balance Sheet'!K22+'Balance Sheet'!L22+'Balance Sheet'!M22)/'Balance Sheet'!G22</f>
        <v>0.47075089264141323</v>
      </c>
      <c r="Q23" s="221">
        <f>(+'Balance Sheet'!L22+'Balance Sheet'!I22)/('Balance Sheet'!P22+'Balance Sheet'!I22)</f>
        <v>0.28392011766328074</v>
      </c>
      <c r="R23" s="221">
        <f>+('Balance Sheet'!L22+'Balance Sheet'!I22-'Balance Sheet'!B22)/('Balance Sheet'!P22+'Balance Sheet'!I22-'Balance Sheet'!B22)</f>
        <v>0.2704060129249789</v>
      </c>
      <c r="S23" s="214">
        <v>5.2389791183294667</v>
      </c>
      <c r="T23" s="266">
        <v>0.42562944718117135</v>
      </c>
    </row>
    <row r="24" spans="1:20" ht="15" x14ac:dyDescent="0.2">
      <c r="A24" s="170">
        <v>1981</v>
      </c>
      <c r="B24" s="198">
        <v>1.9785725344480569</v>
      </c>
      <c r="C24" s="209">
        <v>6.7900945695622497</v>
      </c>
      <c r="D24" s="210">
        <v>4.5522231743311437E-2</v>
      </c>
      <c r="E24" s="201">
        <v>2.2434829415835744</v>
      </c>
      <c r="F24" s="202">
        <v>0.1021283503789335</v>
      </c>
      <c r="G24" s="201">
        <v>2.0136954483280713</v>
      </c>
      <c r="H24" s="211">
        <v>0.20565539430331287</v>
      </c>
      <c r="I24" s="331">
        <f>(('Income - Historical'!Y24-'Income - Historical'!Y23)+'Income - Historical'!X24)/'Income - Historical'!Y23</f>
        <v>0.85294117647058831</v>
      </c>
      <c r="J24" s="331">
        <f>(('Income - Historical'!Y24+SUM('Income - Historical'!X22:X24))/'Income - Historical'!Y21)^(1/3)-1</f>
        <v>0.20695367512207041</v>
      </c>
      <c r="K24" s="202">
        <f>+('Income - Historical'!M24+'Income - Historical'!J24*(1-Ratios!T24))/'Balance Sheet'!V23</f>
        <v>0.15682391226289225</v>
      </c>
      <c r="L24" s="202">
        <f>+'Income - Historical'!I24/AVERAGE('Balance Sheet'!Q22:Q23)</f>
        <v>0.26230712302393255</v>
      </c>
      <c r="M24" s="201">
        <v>7.0461783439490446</v>
      </c>
      <c r="N24" s="202">
        <v>2.7118644067796609E-2</v>
      </c>
      <c r="O24" s="212">
        <v>0.19108280254777069</v>
      </c>
      <c r="P24" s="207">
        <f>+('Balance Sheet'!K23+'Balance Sheet'!L23+'Balance Sheet'!M23)/'Balance Sheet'!G23</f>
        <v>0.53322542936786255</v>
      </c>
      <c r="Q24" s="208">
        <f>(+'Balance Sheet'!L23+'Balance Sheet'!I23)/('Balance Sheet'!P23+'Balance Sheet'!I23)</f>
        <v>0.36542157600066844</v>
      </c>
      <c r="R24" s="208">
        <f>+('Balance Sheet'!L23+'Balance Sheet'!I23-'Balance Sheet'!B23)/('Balance Sheet'!P23+'Balance Sheet'!I23-'Balance Sheet'!B23)</f>
        <v>0.35573772230293643</v>
      </c>
      <c r="S24" s="209">
        <v>7.9844173441734423</v>
      </c>
      <c r="T24" s="265">
        <v>0.42026384712387233</v>
      </c>
    </row>
    <row r="25" spans="1:20" ht="15" x14ac:dyDescent="0.2">
      <c r="A25" s="170">
        <v>1982</v>
      </c>
      <c r="B25" s="198">
        <v>2.1052364167539936</v>
      </c>
      <c r="C25" s="209">
        <v>6.4327400692221914</v>
      </c>
      <c r="D25" s="210">
        <v>3.321246594922115E-2</v>
      </c>
      <c r="E25" s="201">
        <v>2.1422104836699076</v>
      </c>
      <c r="F25" s="202">
        <v>7.1148092744951374E-2</v>
      </c>
      <c r="G25" s="201">
        <v>2.1095953453206668</v>
      </c>
      <c r="H25" s="211">
        <v>0.15009368528319253</v>
      </c>
      <c r="I25" s="331">
        <f>(('Income - Historical'!Y25-'Income - Historical'!Y24)+'Income - Historical'!X25)/'Income - Historical'!Y24</f>
        <v>0.19380434782608696</v>
      </c>
      <c r="J25" s="331">
        <f>(('Income - Historical'!Y25+SUM('Income - Historical'!X23:X25))/'Income - Historical'!Y22)^(1/3)-1</f>
        <v>0.35508114773252775</v>
      </c>
      <c r="K25" s="202">
        <f>+('Income - Historical'!M25+'Income - Historical'!J25*(1-Ratios!T25))/'Balance Sheet'!V24</f>
        <v>0.1163187857016971</v>
      </c>
      <c r="L25" s="202">
        <f>+'Income - Historical'!I25/AVERAGE('Balance Sheet'!Q23:Q24)</f>
        <v>0.18918255133802145</v>
      </c>
      <c r="M25" s="201">
        <v>10.088582677165354</v>
      </c>
      <c r="N25" s="202">
        <v>2.6536585365853661E-2</v>
      </c>
      <c r="O25" s="212">
        <v>0.26771653543307089</v>
      </c>
      <c r="P25" s="207">
        <f>+('Balance Sheet'!K24+'Balance Sheet'!L24+'Balance Sheet'!M24)/'Balance Sheet'!G24</f>
        <v>0.51937517209558481</v>
      </c>
      <c r="Q25" s="208">
        <f>(+'Balance Sheet'!L24+'Balance Sheet'!I24)/('Balance Sheet'!P24+'Balance Sheet'!I24)</f>
        <v>0.35554375966176827</v>
      </c>
      <c r="R25" s="208">
        <f>+('Balance Sheet'!L24+'Balance Sheet'!I24-'Balance Sheet'!B24)/('Balance Sheet'!P24+'Balance Sheet'!I24-'Balance Sheet'!B24)</f>
        <v>0.3422643374455871</v>
      </c>
      <c r="S25" s="209">
        <v>5.3735763097949887</v>
      </c>
      <c r="T25" s="265">
        <v>0.40546874999999999</v>
      </c>
    </row>
    <row r="26" spans="1:20" ht="15" x14ac:dyDescent="0.2">
      <c r="A26" s="170">
        <v>1983</v>
      </c>
      <c r="B26" s="198">
        <v>2.4515160028526353</v>
      </c>
      <c r="C26" s="209">
        <v>6.3020382746388819</v>
      </c>
      <c r="D26" s="210">
        <v>4.3989967745397644E-2</v>
      </c>
      <c r="E26" s="201">
        <v>2.1082535920780758</v>
      </c>
      <c r="F26" s="202">
        <v>9.2742007514633282E-2</v>
      </c>
      <c r="G26" s="201">
        <v>2.0911213353172999</v>
      </c>
      <c r="H26" s="211">
        <v>0.19393479059400701</v>
      </c>
      <c r="I26" s="331">
        <f>(('Income - Historical'!Y26-'Income - Historical'!Y25)+'Income - Historical'!X26)/'Income - Historical'!Y25</f>
        <v>0.58999999999999986</v>
      </c>
      <c r="J26" s="331">
        <f>(('Income - Historical'!Y26+SUM('Income - Historical'!X24:X26))/'Income - Historical'!Y23)^(1/3)-1</f>
        <v>0.50962582382055444</v>
      </c>
      <c r="K26" s="202">
        <f>+('Income - Historical'!M26+'Income - Historical'!J26*(1-Ratios!T26))/'Balance Sheet'!V25</f>
        <v>0.14175599138371062</v>
      </c>
      <c r="L26" s="202">
        <f>+'Income - Historical'!I26/AVERAGE('Balance Sheet'!Q24:Q25)</f>
        <v>0.25143018631785058</v>
      </c>
      <c r="M26" s="201">
        <v>10.928961748633879</v>
      </c>
      <c r="N26" s="202">
        <v>1.8749999999999999E-2</v>
      </c>
      <c r="O26" s="212">
        <v>0.20491803278688525</v>
      </c>
      <c r="P26" s="207">
        <f>+('Balance Sheet'!K25+'Balance Sheet'!L25+'Balance Sheet'!M25)/'Balance Sheet'!G25</f>
        <v>0.52339644177563838</v>
      </c>
      <c r="Q26" s="208">
        <f>(+'Balance Sheet'!L25+'Balance Sheet'!I25)/('Balance Sheet'!P25+'Balance Sheet'!I25)</f>
        <v>0.37241045258085348</v>
      </c>
      <c r="R26" s="208">
        <f>+('Balance Sheet'!L25+'Balance Sheet'!I25-'Balance Sheet'!B25)/('Balance Sheet'!P25+'Balance Sheet'!I25-'Balance Sheet'!B25)</f>
        <v>0.29069840891066168</v>
      </c>
      <c r="S26" s="209">
        <v>6.7269388636854615</v>
      </c>
      <c r="T26" s="265">
        <v>0.41248585439456814</v>
      </c>
    </row>
    <row r="27" spans="1:20" ht="15" x14ac:dyDescent="0.2">
      <c r="A27" s="170">
        <v>1984</v>
      </c>
      <c r="B27" s="198">
        <v>2.5420110590909966</v>
      </c>
      <c r="C27" s="209">
        <v>5.847981160351102</v>
      </c>
      <c r="D27" s="210">
        <v>4.8894224544801856E-2</v>
      </c>
      <c r="E27" s="201">
        <v>1.9557621125904647</v>
      </c>
      <c r="F27" s="202">
        <v>9.5625471889214234E-2</v>
      </c>
      <c r="G27" s="201">
        <v>2.1303544019497744</v>
      </c>
      <c r="H27" s="211">
        <v>0.20371614497771195</v>
      </c>
      <c r="I27" s="331">
        <f>(('Income - Historical'!Y27-'Income - Historical'!Y26)+'Income - Historical'!X27)/'Income - Historical'!Y26</f>
        <v>-3.7904191616766385E-2</v>
      </c>
      <c r="J27" s="331">
        <f>(('Income - Historical'!Y27+SUM('Income - Historical'!X25:X27))/'Income - Historical'!Y24)^(1/3)-1</f>
        <v>0.21895719638084254</v>
      </c>
      <c r="K27" s="202">
        <f>+('Income - Historical'!M27+'Income - Historical'!J27*(1-Ratios!T27))/'Balance Sheet'!V26</f>
        <v>0.14424243794029817</v>
      </c>
      <c r="L27" s="202">
        <f>+'Income - Historical'!I27/AVERAGE('Balance Sheet'!Q25:Q26)</f>
        <v>0.24393827598212545</v>
      </c>
      <c r="M27" s="201">
        <v>8.8200934579439245</v>
      </c>
      <c r="N27" s="202">
        <v>2.3311258278145695E-2</v>
      </c>
      <c r="O27" s="212">
        <v>0.20560747663551401</v>
      </c>
      <c r="P27" s="207">
        <f>+('Balance Sheet'!K26+'Balance Sheet'!L26+'Balance Sheet'!M26)/'Balance Sheet'!G26</f>
        <v>0.53682181359184955</v>
      </c>
      <c r="Q27" s="208">
        <f>(+'Balance Sheet'!L26+'Balance Sheet'!I26)/('Balance Sheet'!P26+'Balance Sheet'!I26)</f>
        <v>0.40806377847996006</v>
      </c>
      <c r="R27" s="208">
        <f>+('Balance Sheet'!L26+'Balance Sheet'!I26-'Balance Sheet'!B26)/('Balance Sheet'!P26+'Balance Sheet'!I26-'Balance Sheet'!B26)</f>
        <v>0.33232897590714572</v>
      </c>
      <c r="S27" s="209">
        <v>6.9693374703413031</v>
      </c>
      <c r="T27" s="265">
        <v>0.3649177520944169</v>
      </c>
    </row>
    <row r="28" spans="1:20" ht="15" x14ac:dyDescent="0.2">
      <c r="A28" s="172">
        <v>1985</v>
      </c>
      <c r="B28" s="213">
        <v>2.4611621121548533</v>
      </c>
      <c r="C28" s="214">
        <v>5.5832187273560772</v>
      </c>
      <c r="D28" s="215">
        <v>5.0106398307650866E-2</v>
      </c>
      <c r="E28" s="216">
        <v>1.9023633496080947</v>
      </c>
      <c r="F28" s="217">
        <v>9.5320575721340076E-2</v>
      </c>
      <c r="G28" s="216">
        <v>1.929428267018235</v>
      </c>
      <c r="H28" s="218">
        <v>0.18391421322520562</v>
      </c>
      <c r="I28" s="332">
        <f>(('Income - Historical'!Y28-'Income - Historical'!Y27)+'Income - Historical'!X28)/'Income - Historical'!Y27</f>
        <v>0.79089171974522288</v>
      </c>
      <c r="J28" s="334">
        <f>(('Income - Historical'!Y28+SUM('Income - Historical'!X26:X28))/'Income - Historical'!Y25)^(1/3)-1</f>
        <v>0.39098086681425781</v>
      </c>
      <c r="K28" s="217">
        <f>+('Income - Historical'!M28+'Income - Historical'!J28*(1-Ratios!T28))/'Balance Sheet'!V27</f>
        <v>0.14006252934225358</v>
      </c>
      <c r="L28" s="217">
        <f>+'Income - Historical'!I28/AVERAGE('Balance Sheet'!Q26:Q27)</f>
        <v>0.24723950070969355</v>
      </c>
      <c r="M28" s="216">
        <v>13.578431372549021</v>
      </c>
      <c r="N28" s="217">
        <v>1.0015037593984963E-2</v>
      </c>
      <c r="O28" s="219">
        <v>0.20429447852760738</v>
      </c>
      <c r="P28" s="220">
        <f>+('Balance Sheet'!K27+'Balance Sheet'!L27+'Balance Sheet'!M27)/'Balance Sheet'!G27</f>
        <v>0.43426154909636661</v>
      </c>
      <c r="Q28" s="221">
        <f>(+'Balance Sheet'!L27+'Balance Sheet'!I27)/('Balance Sheet'!P27+'Balance Sheet'!I27)</f>
        <v>0.26516952248648012</v>
      </c>
      <c r="R28" s="221">
        <f>+('Balance Sheet'!L27+'Balance Sheet'!I27-'Balance Sheet'!B27)/('Balance Sheet'!P27+'Balance Sheet'!I27-'Balance Sheet'!B27)</f>
        <v>0.23394491099053008</v>
      </c>
      <c r="S28" s="214">
        <v>7.5002374544878894</v>
      </c>
      <c r="T28" s="266">
        <v>0.41566411767570999</v>
      </c>
    </row>
    <row r="29" spans="1:20" ht="15" x14ac:dyDescent="0.2">
      <c r="A29" s="170">
        <v>1986</v>
      </c>
      <c r="B29" s="198">
        <v>2.8376165601472807</v>
      </c>
      <c r="C29" s="209">
        <v>5.9059408491343772</v>
      </c>
      <c r="D29" s="210">
        <v>5.9033338683185187E-2</v>
      </c>
      <c r="E29" s="201">
        <v>1.8895199627055268</v>
      </c>
      <c r="F29" s="202">
        <v>0.11154467190703481</v>
      </c>
      <c r="G29" s="201">
        <v>1.8442149165994843</v>
      </c>
      <c r="H29" s="211">
        <v>0.20571234779814904</v>
      </c>
      <c r="I29" s="331">
        <f>(('Income - Historical'!Y29-'Income - Historical'!Y28)+'Income - Historical'!X29)/'Income - Historical'!Y28</f>
        <v>0.18050541516245494</v>
      </c>
      <c r="J29" s="331">
        <f>(('Income - Historical'!Y29+SUM('Income - Historical'!X27:X29))/'Income - Historical'!Y26)^(1/3)-1</f>
        <v>0.26097638691446678</v>
      </c>
      <c r="K29" s="202">
        <f>+('Income - Historical'!M29+'Income - Historical'!J29*(1-Ratios!T29))/'Balance Sheet'!V28</f>
        <v>0.15443544039536566</v>
      </c>
      <c r="L29" s="202">
        <f>+'Income - Historical'!I29/AVERAGE('Balance Sheet'!Q27:Q28)</f>
        <v>0.27781545423817122</v>
      </c>
      <c r="M29" s="201">
        <v>12.684729064039409</v>
      </c>
      <c r="N29" s="202">
        <v>1.5533980582524273E-2</v>
      </c>
      <c r="O29" s="212">
        <v>0.1970443349753695</v>
      </c>
      <c r="P29" s="207">
        <f>+('Balance Sheet'!K28+'Balance Sheet'!L28+'Balance Sheet'!M28)/'Balance Sheet'!G28</f>
        <v>0.47595961214840921</v>
      </c>
      <c r="Q29" s="208">
        <f>(+'Balance Sheet'!L28+'Balance Sheet'!I28)/('Balance Sheet'!P28+'Balance Sheet'!I28)</f>
        <v>0.32480248591419569</v>
      </c>
      <c r="R29" s="208">
        <f>+('Balance Sheet'!L28+'Balance Sheet'!I28-'Balance Sheet'!B28)/('Balance Sheet'!P28+'Balance Sheet'!I28-'Balance Sheet'!B28)</f>
        <v>0.22855599725186357</v>
      </c>
      <c r="S29" s="209">
        <v>10.109683484801003</v>
      </c>
      <c r="T29" s="265">
        <v>0.40529429976951387</v>
      </c>
    </row>
    <row r="30" spans="1:20" ht="15" x14ac:dyDescent="0.2">
      <c r="A30" s="170">
        <v>1987</v>
      </c>
      <c r="B30" s="198">
        <v>2.669483050412842</v>
      </c>
      <c r="C30" s="209">
        <v>5.8060804132075576</v>
      </c>
      <c r="D30" s="210">
        <v>5.7711649685403814E-2</v>
      </c>
      <c r="E30" s="201">
        <v>1.7697639933052387</v>
      </c>
      <c r="F30" s="202">
        <v>0.10213599960747327</v>
      </c>
      <c r="G30" s="201">
        <v>1.8689007305368479</v>
      </c>
      <c r="H30" s="211">
        <v>0.190882044280518</v>
      </c>
      <c r="I30" s="331">
        <f>(('Income - Historical'!Y30-'Income - Historical'!Y29)+'Income - Historical'!X30)/'Income - Historical'!Y29</f>
        <v>-0.1242236024844721</v>
      </c>
      <c r="J30" s="331">
        <f>(('Income - Historical'!Y30+SUM('Income - Historical'!X28:X30))/'Income - Historical'!Y27)^(1/3)-1</f>
        <v>0.22861456081706955</v>
      </c>
      <c r="K30" s="202">
        <f>+('Income - Historical'!M30+'Income - Historical'!J30*(1-Ratios!T30))/'Balance Sheet'!V29</f>
        <v>0.14012389727035784</v>
      </c>
      <c r="L30" s="202">
        <f>+'Income - Historical'!I30/AVERAGE('Balance Sheet'!Q28:Q29)</f>
        <v>0.26445189951037851</v>
      </c>
      <c r="M30" s="201">
        <v>9.9099099099099082</v>
      </c>
      <c r="N30" s="202">
        <v>2.5454545454545455E-2</v>
      </c>
      <c r="O30" s="212">
        <v>0.25225225225225223</v>
      </c>
      <c r="P30" s="207">
        <f>+('Balance Sheet'!K29+'Balance Sheet'!L29+'Balance Sheet'!M29)/'Balance Sheet'!G29</f>
        <v>0.45489414409725826</v>
      </c>
      <c r="Q30" s="208">
        <f>(+'Balance Sheet'!L29+'Balance Sheet'!I29)/('Balance Sheet'!P29+'Balance Sheet'!I29)</f>
        <v>0.28408550305368047</v>
      </c>
      <c r="R30" s="208">
        <f>+('Balance Sheet'!L29+'Balance Sheet'!I29-'Balance Sheet'!B29)/('Balance Sheet'!P29+'Balance Sheet'!I29-'Balance Sheet'!B29)</f>
        <v>0.20869957578642939</v>
      </c>
      <c r="S30" s="209">
        <v>10.884841000308738</v>
      </c>
      <c r="T30" s="265">
        <v>0.41485773182996533</v>
      </c>
    </row>
    <row r="31" spans="1:20" ht="15" x14ac:dyDescent="0.2">
      <c r="A31" s="170">
        <v>1988</v>
      </c>
      <c r="B31" s="198">
        <v>2.4285548068066127</v>
      </c>
      <c r="C31" s="209">
        <v>6.009068272196826</v>
      </c>
      <c r="D31" s="210">
        <v>4.6584245884414177E-2</v>
      </c>
      <c r="E31" s="201">
        <v>1.8794139282540139</v>
      </c>
      <c r="F31" s="202">
        <v>8.755108055237773E-2</v>
      </c>
      <c r="G31" s="201">
        <v>1.8945200360495023</v>
      </c>
      <c r="H31" s="211">
        <v>0.16586727628426354</v>
      </c>
      <c r="I31" s="331">
        <f>(('Income - Historical'!Y31-'Income - Historical'!Y30)+'Income - Historical'!X31)/'Income - Historical'!Y30</f>
        <v>0.10909090909090917</v>
      </c>
      <c r="J31" s="331">
        <f>(('Income - Historical'!Y31+SUM('Income - Historical'!X29:X31))/'Income - Historical'!Y28)^(1/3)-1</f>
        <v>4.5987507613528544E-2</v>
      </c>
      <c r="K31" s="202">
        <f>+('Income - Historical'!M31+'Income - Historical'!J31*(1-Ratios!T31))/'Balance Sheet'!V30</f>
        <v>0.12444882810189539</v>
      </c>
      <c r="L31" s="202">
        <f>+'Income - Historical'!I31/AVERAGE('Balance Sheet'!Q29:Q30)</f>
        <v>0.20635822481818</v>
      </c>
      <c r="M31" s="201">
        <v>10.944700460829493</v>
      </c>
      <c r="N31" s="202">
        <v>2.6947368421052633E-2</v>
      </c>
      <c r="O31" s="212">
        <v>0.29493087557603687</v>
      </c>
      <c r="P31" s="207">
        <f>+('Balance Sheet'!K30+'Balance Sheet'!L30+'Balance Sheet'!M30)/'Balance Sheet'!G30</f>
        <v>0.48605672790622678</v>
      </c>
      <c r="Q31" s="208">
        <f>(+'Balance Sheet'!L30+'Balance Sheet'!I30)/('Balance Sheet'!P30+'Balance Sheet'!I30)</f>
        <v>0.29305785604277451</v>
      </c>
      <c r="R31" s="208">
        <f>+('Balance Sheet'!L30+'Balance Sheet'!I30-'Balance Sheet'!B30)/('Balance Sheet'!P30+'Balance Sheet'!I30-'Balance Sheet'!B30)</f>
        <v>0.27969229030009229</v>
      </c>
      <c r="S31" s="209">
        <v>9.1491037479630624</v>
      </c>
      <c r="T31" s="265">
        <v>0.37128811864689215</v>
      </c>
    </row>
    <row r="32" spans="1:20" ht="15" x14ac:dyDescent="0.2">
      <c r="A32" s="170">
        <v>1989</v>
      </c>
      <c r="B32" s="198">
        <v>2.5972059606173499</v>
      </c>
      <c r="C32" s="209">
        <v>5.8728168887288446</v>
      </c>
      <c r="D32" s="210">
        <v>4.6292066392568908E-2</v>
      </c>
      <c r="E32" s="201">
        <v>1.8961567916567472</v>
      </c>
      <c r="F32" s="202">
        <v>8.7777016090094598E-2</v>
      </c>
      <c r="G32" s="201">
        <v>1.9844589864094395</v>
      </c>
      <c r="H32" s="211">
        <v>0.1741898883801942</v>
      </c>
      <c r="I32" s="331">
        <f>(('Income - Historical'!Y32-'Income - Historical'!Y31)+'Income - Historical'!X32)/'Income - Historical'!Y31</f>
        <v>0.29377104377104368</v>
      </c>
      <c r="J32" s="331">
        <f>(('Income - Historical'!Y32+SUM('Income - Historical'!X30:X32))/'Income - Historical'!Y29)^(1/3)-1</f>
        <v>7.4310163455932665E-2</v>
      </c>
      <c r="K32" s="202">
        <f>+('Income - Historical'!M32+'Income - Historical'!J32*(1-Ratios!T32))/'Balance Sheet'!V31</f>
        <v>0.12920650178492607</v>
      </c>
      <c r="L32" s="202">
        <f>+'Income - Historical'!I32/AVERAGE('Balance Sheet'!Q30:Q31)</f>
        <v>0.21366756192181438</v>
      </c>
      <c r="M32" s="201">
        <v>11.627906976744185</v>
      </c>
      <c r="N32" s="202">
        <v>2.4666666666666667E-2</v>
      </c>
      <c r="O32" s="212">
        <v>0.2868217054263566</v>
      </c>
      <c r="P32" s="207">
        <f>+('Balance Sheet'!K31+'Balance Sheet'!L31+'Balance Sheet'!M31)/'Balance Sheet'!G31</f>
        <v>0.5045104645945685</v>
      </c>
      <c r="Q32" s="208">
        <f>(+'Balance Sheet'!L31+'Balance Sheet'!I31)/('Balance Sheet'!P31+'Balance Sheet'!I31)</f>
        <v>0.32880060116966708</v>
      </c>
      <c r="R32" s="208">
        <f>+('Balance Sheet'!L31+'Balance Sheet'!I31-'Balance Sheet'!B31)/('Balance Sheet'!P31+'Balance Sheet'!I31-'Balance Sheet'!B31)</f>
        <v>0.32449394753802246</v>
      </c>
      <c r="S32" s="209">
        <v>6.946268656716418</v>
      </c>
      <c r="T32" s="265">
        <v>0.39357429718875503</v>
      </c>
    </row>
    <row r="33" spans="1:20" ht="15" x14ac:dyDescent="0.2">
      <c r="A33" s="172">
        <v>1990</v>
      </c>
      <c r="B33" s="213">
        <v>2.676258655454304</v>
      </c>
      <c r="C33" s="214">
        <v>5.6780777385159018</v>
      </c>
      <c r="D33" s="215">
        <v>4.0142418318905339E-2</v>
      </c>
      <c r="E33" s="216">
        <v>1.749517270196105</v>
      </c>
      <c r="F33" s="217">
        <v>7.0229854116361387E-2</v>
      </c>
      <c r="G33" s="216">
        <v>2.1301905298238832</v>
      </c>
      <c r="H33" s="218">
        <v>0.1496029701495859</v>
      </c>
      <c r="I33" s="332">
        <f>(('Income - Historical'!Y33-'Income - Historical'!Y32)+'Income - Historical'!X33)/'Income - Historical'!Y32</f>
        <v>-9.2000000000000054E-2</v>
      </c>
      <c r="J33" s="334">
        <f>(('Income - Historical'!Y33+SUM('Income - Historical'!X31:X33))/'Income - Historical'!Y30)^(1/3)-1</f>
        <v>9.1647227717962521E-2</v>
      </c>
      <c r="K33" s="217">
        <f>+('Income - Historical'!M33+'Income - Historical'!J33*(1-Ratios!T33))/'Balance Sheet'!V32</f>
        <v>0.10572362940666551</v>
      </c>
      <c r="L33" s="217">
        <f>+'Income - Historical'!I33/AVERAGE('Balance Sheet'!Q31:Q32)</f>
        <v>0.17128727365432436</v>
      </c>
      <c r="M33" s="216">
        <v>11.271367521367521</v>
      </c>
      <c r="N33" s="217">
        <v>3.1848341232227489E-2</v>
      </c>
      <c r="O33" s="219">
        <v>0.35897435897435898</v>
      </c>
      <c r="P33" s="220">
        <f>+('Balance Sheet'!K32+'Balance Sheet'!L32+'Balance Sheet'!M32)/'Balance Sheet'!G32</f>
        <v>0.55245363386280955</v>
      </c>
      <c r="Q33" s="221">
        <f>(+'Balance Sheet'!L32+'Balance Sheet'!I32)/('Balance Sheet'!P32+'Balance Sheet'!I32)</f>
        <v>0.39165152026352934</v>
      </c>
      <c r="R33" s="221">
        <f>+('Balance Sheet'!L32+'Balance Sheet'!I32-'Balance Sheet'!B32)/('Balance Sheet'!P32+'Balance Sheet'!I32-'Balance Sheet'!B32)</f>
        <v>0.38798466375781737</v>
      </c>
      <c r="S33" s="214">
        <v>5.669083717864206</v>
      </c>
      <c r="T33" s="266">
        <v>0.38284681325820169</v>
      </c>
    </row>
    <row r="34" spans="1:20" ht="15" x14ac:dyDescent="0.2">
      <c r="A34" s="170">
        <v>1991</v>
      </c>
      <c r="B34" s="198">
        <v>2.909505290766031</v>
      </c>
      <c r="C34" s="209">
        <v>5.1601727657092873</v>
      </c>
      <c r="D34" s="210">
        <v>3.6411870462034764E-2</v>
      </c>
      <c r="E34" s="201">
        <v>1.6240943851126368</v>
      </c>
      <c r="F34" s="202">
        <v>5.9136314368839329E-2</v>
      </c>
      <c r="G34" s="201">
        <v>2.0973845744521746</v>
      </c>
      <c r="H34" s="211">
        <v>0.12403159354715809</v>
      </c>
      <c r="I34" s="331">
        <f>(('Income - Historical'!Y34-'Income - Historical'!Y33)+'Income - Historical'!X34)/'Income - Historical'!Y33</f>
        <v>0.46590909090909111</v>
      </c>
      <c r="J34" s="331">
        <f>(('Income - Historical'!Y34+SUM('Income - Historical'!X32:X34))/'Income - Historical'!Y31)^(1/3)-1</f>
        <v>0.19237906358364754</v>
      </c>
      <c r="K34" s="202">
        <f>+('Income - Historical'!M34+'Income - Historical'!J34*(1-Ratios!T34))/'Balance Sheet'!V33</f>
        <v>8.5891864670909507E-2</v>
      </c>
      <c r="L34" s="202">
        <f>+'Income - Historical'!I34/AVERAGE('Balance Sheet'!Q32:Q33)</f>
        <v>0.13944956818277601</v>
      </c>
      <c r="M34" s="201">
        <v>17.373853211009173</v>
      </c>
      <c r="N34" s="202">
        <v>2.2706270627062704E-2</v>
      </c>
      <c r="O34" s="212">
        <v>0.39449541284403666</v>
      </c>
      <c r="P34" s="207">
        <f>+('Balance Sheet'!K33+'Balance Sheet'!L33+'Balance Sheet'!M33)/'Balance Sheet'!G33</f>
        <v>0.49308493775377077</v>
      </c>
      <c r="Q34" s="208">
        <f>(+'Balance Sheet'!L33+'Balance Sheet'!I33)/('Balance Sheet'!P33+'Balance Sheet'!I33)</f>
        <v>0.33269489406524821</v>
      </c>
      <c r="R34" s="208">
        <f>+('Balance Sheet'!L33+'Balance Sheet'!I33-'Balance Sheet'!B33)/('Balance Sheet'!P33+'Balance Sheet'!I33-'Balance Sheet'!B33)</f>
        <v>0.32620788258739047</v>
      </c>
      <c r="S34" s="209">
        <v>6.1945461945461942</v>
      </c>
      <c r="T34" s="265">
        <v>0.3830830188088265</v>
      </c>
    </row>
    <row r="35" spans="1:20" ht="15" x14ac:dyDescent="0.2">
      <c r="A35" s="170">
        <v>1992</v>
      </c>
      <c r="B35" s="198">
        <v>2.8682912433070538</v>
      </c>
      <c r="C35" s="209">
        <v>5.6780777385159018</v>
      </c>
      <c r="D35" s="210">
        <v>5.3370992903802345E-2</v>
      </c>
      <c r="E35" s="201">
        <v>1.7546740022561436</v>
      </c>
      <c r="F35" s="202">
        <v>9.3648693722899093E-2</v>
      </c>
      <c r="G35" s="201">
        <v>1.7606346617257751</v>
      </c>
      <c r="H35" s="211">
        <v>0.16488113619387718</v>
      </c>
      <c r="I35" s="331">
        <f>(('Income - Historical'!Y35-'Income - Historical'!Y34)+'Income - Historical'!X35)/'Income - Historical'!Y34</f>
        <v>0.82135306553911192</v>
      </c>
      <c r="J35" s="331">
        <f>(('Income - Historical'!Y35+SUM('Income - Historical'!X33:X35))/'Income - Historical'!Y32)^(1/3)-1</f>
        <v>0.33025679553521359</v>
      </c>
      <c r="K35" s="202">
        <f>+('Income - Historical'!M35+'Income - Historical'!J35*(1-Ratios!T35))/'Balance Sheet'!V34</f>
        <v>0.11963553401954048</v>
      </c>
      <c r="L35" s="202">
        <f>+'Income - Historical'!I35/AVERAGE('Balance Sheet'!Q33:Q34)</f>
        <v>0.1920235665286194</v>
      </c>
      <c r="M35" s="201">
        <v>20.858895705521473</v>
      </c>
      <c r="N35" s="202">
        <v>1.3529411764705884E-2</v>
      </c>
      <c r="O35" s="212">
        <v>0.28220858895705525</v>
      </c>
      <c r="P35" s="207">
        <f>+('Balance Sheet'!K34+'Balance Sheet'!L34+'Balance Sheet'!M34)/'Balance Sheet'!G34</f>
        <v>0.37293575072526186</v>
      </c>
      <c r="Q35" s="208">
        <f>(+'Balance Sheet'!L34+'Balance Sheet'!I34)/('Balance Sheet'!P34+'Balance Sheet'!I34)</f>
        <v>0.18288082849781243</v>
      </c>
      <c r="R35" s="208">
        <f>+('Balance Sheet'!L34+'Balance Sheet'!I34-'Balance Sheet'!B34)/('Balance Sheet'!P34+'Balance Sheet'!I34-'Balance Sheet'!B34)</f>
        <v>0.1769743392509894</v>
      </c>
      <c r="S35" s="209">
        <v>18.225750776665517</v>
      </c>
      <c r="T35" s="265">
        <v>0.37403555181466563</v>
      </c>
    </row>
    <row r="36" spans="1:20" ht="15" x14ac:dyDescent="0.2">
      <c r="A36" s="186">
        <v>1993</v>
      </c>
      <c r="B36" s="198">
        <v>2.6209386281588452</v>
      </c>
      <c r="C36" s="209">
        <v>6.3626270621000405</v>
      </c>
      <c r="D36" s="210">
        <v>5.6265147049191069E-2</v>
      </c>
      <c r="E36" s="201">
        <v>1.9326160446247336</v>
      </c>
      <c r="F36" s="202">
        <v>0.10873892594043665</v>
      </c>
      <c r="G36" s="201">
        <v>1.6794037643672357</v>
      </c>
      <c r="H36" s="211">
        <v>0.18261656155761935</v>
      </c>
      <c r="I36" s="331">
        <f>(('Income - Historical'!Y36-'Income - Historical'!Y35)+'Income - Historical'!X36)/'Income - Historical'!Y35</f>
        <v>0.4864705882352941</v>
      </c>
      <c r="J36" s="331">
        <f>(('Income - Historical'!Y36+SUM('Income - Historical'!X34:X36))/'Income - Historical'!Y33)^(1/3)-1</f>
        <v>0.5735511488269518</v>
      </c>
      <c r="K36" s="202">
        <f>+('Income - Historical'!M36+'Income - Historical'!J36*(1-Ratios!T36))/'Balance Sheet'!V35</f>
        <v>0.14224613099040023</v>
      </c>
      <c r="L36" s="202">
        <f>+'Income - Historical'!I36/AVERAGE('Balance Sheet'!Q34:Q35)</f>
        <v>0.23385409175061128</v>
      </c>
      <c r="M36" s="201">
        <v>23.923444976076556</v>
      </c>
      <c r="N36" s="202">
        <v>1.0800000000000001E-2</v>
      </c>
      <c r="O36" s="212">
        <v>0.25837320574162681</v>
      </c>
      <c r="P36" s="207">
        <f>+('Balance Sheet'!K35+'Balance Sheet'!L35+'Balance Sheet'!M35)/'Balance Sheet'!G35</f>
        <v>0.42831799534316439</v>
      </c>
      <c r="Q36" s="208">
        <f>(+'Balance Sheet'!L35+'Balance Sheet'!I35)/('Balance Sheet'!P35+'Balance Sheet'!I35)</f>
        <v>0.22683489350156019</v>
      </c>
      <c r="R36" s="208">
        <f>+('Balance Sheet'!L35+'Balance Sheet'!I35-'Balance Sheet'!B35)/('Balance Sheet'!P35+'Balance Sheet'!I35-'Balance Sheet'!B35)</f>
        <v>0.22641509433962265</v>
      </c>
      <c r="S36" s="209">
        <v>14.823529411764707</v>
      </c>
      <c r="T36" s="265">
        <v>0.39078014184397164</v>
      </c>
    </row>
    <row r="37" spans="1:20" ht="15" x14ac:dyDescent="0.2">
      <c r="A37" s="170">
        <v>1994</v>
      </c>
      <c r="B37" s="198">
        <v>2.3387720051524261</v>
      </c>
      <c r="C37" s="209">
        <v>6.1519586741282817</v>
      </c>
      <c r="D37" s="210">
        <v>6.2106452828157799E-2</v>
      </c>
      <c r="E37" s="201">
        <v>1.8380650905134037</v>
      </c>
      <c r="F37" s="202">
        <v>0.1141557028390543</v>
      </c>
      <c r="G37" s="201">
        <v>1.7722650771388497</v>
      </c>
      <c r="H37" s="211">
        <v>0.20231416549789616</v>
      </c>
      <c r="I37" s="331">
        <f>(('Income - Historical'!Y37-'Income - Historical'!Y36)+'Income - Historical'!X37)/'Income - Historical'!Y36</f>
        <v>-0.28760000000000002</v>
      </c>
      <c r="J37" s="331">
        <f>(('Income - Historical'!Y37+SUM('Income - Historical'!X35:X37))/'Income - Historical'!Y34)^(1/3)-1</f>
        <v>0.24623248978746171</v>
      </c>
      <c r="K37" s="202">
        <f>+('Income - Historical'!M37+'Income - Historical'!J37*(1-Ratios!T37))/'Balance Sheet'!V36</f>
        <v>0.14958762009894905</v>
      </c>
      <c r="L37" s="202">
        <f>+'Income - Historical'!I37/AVERAGE('Balance Sheet'!Q35:Q36)</f>
        <v>0.24530740353252509</v>
      </c>
      <c r="M37" s="201">
        <v>12.589928057553958</v>
      </c>
      <c r="N37" s="202">
        <v>1.7714285714285714E-2</v>
      </c>
      <c r="O37" s="212">
        <v>0.22302158273381295</v>
      </c>
      <c r="P37" s="207">
        <f>+('Balance Sheet'!K36+'Balance Sheet'!L36+'Balance Sheet'!M36)/'Balance Sheet'!G36</f>
        <v>0.4417358692740424</v>
      </c>
      <c r="Q37" s="208">
        <f>(+'Balance Sheet'!L36+'Balance Sheet'!I36)/('Balance Sheet'!P36+'Balance Sheet'!I36)</f>
        <v>0.23436973846671905</v>
      </c>
      <c r="R37" s="208">
        <f>+('Balance Sheet'!L36+'Balance Sheet'!I36-'Balance Sheet'!B36)/('Balance Sheet'!P36+'Balance Sheet'!I36-'Balance Sheet'!B36)</f>
        <v>0.23204233280792616</v>
      </c>
      <c r="S37" s="209">
        <v>20.336734693877549</v>
      </c>
      <c r="T37" s="265">
        <v>0.39102902374670184</v>
      </c>
    </row>
    <row r="38" spans="1:20" ht="15" x14ac:dyDescent="0.2">
      <c r="A38" s="172">
        <v>1995</v>
      </c>
      <c r="B38" s="213">
        <v>2.5216049382716048</v>
      </c>
      <c r="C38" s="214">
        <v>5.8925417997369918</v>
      </c>
      <c r="D38" s="215">
        <v>6.5507696790171419E-2</v>
      </c>
      <c r="E38" s="216">
        <v>1.7614404242579764</v>
      </c>
      <c r="F38" s="217">
        <v>0.11538790522624243</v>
      </c>
      <c r="G38" s="216">
        <v>1.7201500772456408</v>
      </c>
      <c r="H38" s="218">
        <v>0.19848451408813358</v>
      </c>
      <c r="I38" s="332">
        <f>(('Income - Historical'!Y38-'Income - Historical'!Y37)+'Income - Historical'!X38)/'Income - Historical'!Y37</f>
        <v>0.40800000000000008</v>
      </c>
      <c r="J38" s="334">
        <f>(('Income - Historical'!Y38+SUM('Income - Historical'!X36:X38))/'Income - Historical'!Y35)^(1/3)-1</f>
        <v>0.14050900932167654</v>
      </c>
      <c r="K38" s="217">
        <f>+('Income - Historical'!M38+'Income - Historical'!J38*(1-Ratios!T38))/'Balance Sheet'!V37</f>
        <v>0.15110910321274326</v>
      </c>
      <c r="L38" s="217">
        <f>+'Income - Historical'!I38/AVERAGE('Balance Sheet'!Q36:Q37)</f>
        <v>0.24741608950452851</v>
      </c>
      <c r="M38" s="216">
        <v>15.251572327044025</v>
      </c>
      <c r="N38" s="217">
        <v>1.5670103092783504E-2</v>
      </c>
      <c r="O38" s="219">
        <v>0.2389937106918239</v>
      </c>
      <c r="P38" s="220">
        <f>+('Balance Sheet'!K37+'Balance Sheet'!L37+'Balance Sheet'!M37)/'Balance Sheet'!G37</f>
        <v>0.39743905442009342</v>
      </c>
      <c r="Q38" s="221">
        <f>(+'Balance Sheet'!L37+'Balance Sheet'!I37)/('Balance Sheet'!P37+'Balance Sheet'!I37)</f>
        <v>0.19678553490708192</v>
      </c>
      <c r="R38" s="221">
        <f>+('Balance Sheet'!L37+'Balance Sheet'!I37-'Balance Sheet'!B37)/('Balance Sheet'!P37+'Balance Sheet'!I37-'Balance Sheet'!B37)</f>
        <v>0.19134304207119748</v>
      </c>
      <c r="S38" s="214">
        <v>20.191304347826087</v>
      </c>
      <c r="T38" s="266">
        <v>0.38876302673312191</v>
      </c>
    </row>
    <row r="39" spans="1:20" ht="15" x14ac:dyDescent="0.2">
      <c r="A39" s="170">
        <v>1996</v>
      </c>
      <c r="B39" s="198">
        <v>2.6068989071038247</v>
      </c>
      <c r="C39" s="209">
        <v>5.6145642900670314</v>
      </c>
      <c r="D39" s="210">
        <v>6.8688670829616424E-2</v>
      </c>
      <c r="E39" s="201">
        <v>1.6827237991266375</v>
      </c>
      <c r="F39" s="202">
        <v>0.11558406113537119</v>
      </c>
      <c r="G39" s="201">
        <v>1.7497612225405921</v>
      </c>
      <c r="H39" s="211">
        <v>0.20224450811843361</v>
      </c>
      <c r="I39" s="331">
        <f>(('Income - Historical'!Y39-'Income - Historical'!Y38)+'Income - Historical'!X39)/'Income - Historical'!Y38</f>
        <v>0.44600164880461651</v>
      </c>
      <c r="J39" s="331">
        <f>(('Income - Historical'!Y39+SUM('Income - Historical'!X37:X39))/'Income - Historical'!Y36)^(1/3)-1</f>
        <v>0.12683322506766803</v>
      </c>
      <c r="K39" s="202">
        <f>+('Income - Historical'!M39+'Income - Historical'!J39*(1-Ratios!T39))/'Balance Sheet'!V38</f>
        <v>0.15574145880866441</v>
      </c>
      <c r="L39" s="202">
        <f>+'Income - Historical'!I39/AVERAGE('Balance Sheet'!Q37:Q38)</f>
        <v>0.25428583288364959</v>
      </c>
      <c r="M39" s="201">
        <v>18.716216216216214</v>
      </c>
      <c r="N39" s="202">
        <v>1.328519855595668E-2</v>
      </c>
      <c r="O39" s="212">
        <v>0.24864864864864863</v>
      </c>
      <c r="P39" s="207">
        <f>+('Balance Sheet'!K38+'Balance Sheet'!L38+'Balance Sheet'!M38)/'Balance Sheet'!G38</f>
        <v>0.45058088621635817</v>
      </c>
      <c r="Q39" s="208">
        <f>(+'Balance Sheet'!L38+'Balance Sheet'!I38)/('Balance Sheet'!P38+'Balance Sheet'!I38)</f>
        <v>0.27556179775280898</v>
      </c>
      <c r="R39" s="208">
        <f>+('Balance Sheet'!L38+'Balance Sheet'!I38-'Balance Sheet'!B38)/('Balance Sheet'!P38+'Balance Sheet'!I38-'Balance Sheet'!B38)</f>
        <v>0.27367457579384635</v>
      </c>
      <c r="S39" s="209">
        <v>10.210000000000001</v>
      </c>
      <c r="T39" s="265">
        <v>0.38689829895041622</v>
      </c>
    </row>
    <row r="40" spans="1:20" ht="15" x14ac:dyDescent="0.2">
      <c r="A40" s="170">
        <v>1997</v>
      </c>
      <c r="B40" s="198">
        <v>2.5358389261744967</v>
      </c>
      <c r="C40" s="209">
        <v>5.3430118110236213</v>
      </c>
      <c r="D40" s="210">
        <v>7.160043998350063E-2</v>
      </c>
      <c r="E40" s="201">
        <v>1.5234604105571845</v>
      </c>
      <c r="F40" s="202">
        <v>0.10908043569333892</v>
      </c>
      <c r="G40" s="201">
        <v>1.805682946432793</v>
      </c>
      <c r="H40" s="211">
        <v>0.19696468252092103</v>
      </c>
      <c r="I40" s="331">
        <f>(('Income - Historical'!Y40-'Income - Historical'!Y39)+'Income - Historical'!X40)/'Income - Historical'!Y39</f>
        <v>0.22530329289428092</v>
      </c>
      <c r="J40" s="331">
        <f>(('Income - Historical'!Y40+SUM('Income - Historical'!X38:X40))/'Income - Historical'!Y37)^(1/3)-1</f>
        <v>0.35212286034973794</v>
      </c>
      <c r="K40" s="202">
        <f>+('Income - Historical'!M40+'Income - Historical'!J40*(1-Ratios!T40))/'Balance Sheet'!V39</f>
        <v>0.14469311479802027</v>
      </c>
      <c r="L40" s="202">
        <f>+'Income - Historical'!I40/AVERAGE('Balance Sheet'!Q38:Q39)</f>
        <v>0.23172860271016468</v>
      </c>
      <c r="M40" s="201">
        <v>19.386574074074073</v>
      </c>
      <c r="N40" s="202">
        <v>1.2895522388059702E-2</v>
      </c>
      <c r="O40" s="212">
        <v>0.25</v>
      </c>
      <c r="P40" s="207">
        <f>+('Balance Sheet'!K39+'Balance Sheet'!L39+'Balance Sheet'!M39)/'Balance Sheet'!G39</f>
        <v>0.44262450743009074</v>
      </c>
      <c r="Q40" s="208">
        <f>(+'Balance Sheet'!L39+'Balance Sheet'!I39)/('Balance Sheet'!P39+'Balance Sheet'!I39)</f>
        <v>0.27086568881219436</v>
      </c>
      <c r="R40" s="208">
        <f>+('Balance Sheet'!L39+'Balance Sheet'!I39-'Balance Sheet'!B39)/('Balance Sheet'!P39+'Balance Sheet'!I39-'Balance Sheet'!B39)</f>
        <v>0.26762190894384097</v>
      </c>
      <c r="S40" s="209">
        <v>11.481132075471699</v>
      </c>
      <c r="T40" s="265">
        <v>0.37503750375037503</v>
      </c>
    </row>
    <row r="41" spans="1:20" ht="15" x14ac:dyDescent="0.2">
      <c r="A41" s="170">
        <v>1998</v>
      </c>
      <c r="B41" s="198">
        <v>2.8328350772296962</v>
      </c>
      <c r="C41" s="209">
        <v>5.4359364803132477</v>
      </c>
      <c r="D41" s="210">
        <v>7.3581770709708047E-2</v>
      </c>
      <c r="E41" s="201">
        <v>1.4522578421234056</v>
      </c>
      <c r="F41" s="202">
        <v>0.10685970355049981</v>
      </c>
      <c r="G41" s="201">
        <v>1.7778458709973954</v>
      </c>
      <c r="H41" s="211">
        <v>0.18998008273326181</v>
      </c>
      <c r="I41" s="331">
        <f>(('Income - Historical'!Y41-'Income - Historical'!Y40)+'Income - Historical'!X41)/'Income - Historical'!Y40</f>
        <v>6.5663801337153702E-2</v>
      </c>
      <c r="J41" s="331">
        <f>(('Income - Historical'!Y41+SUM('Income - Historical'!X39:X41))/'Income - Historical'!Y38)^(1/3)-1</f>
        <v>0.23439235712207007</v>
      </c>
      <c r="K41" s="202">
        <f>+('Income - Historical'!M41+'Income - Historical'!J41*(1-Ratios!T41))/'Balance Sheet'!V40</f>
        <v>0.13910128041075873</v>
      </c>
      <c r="L41" s="202">
        <f>+'Income - Historical'!I41/AVERAGE('Balance Sheet'!Q39:Q40)</f>
        <v>0.2266532854426368</v>
      </c>
      <c r="M41" s="201">
        <v>17.741935483870968</v>
      </c>
      <c r="N41" s="202">
        <v>1.4318181818181818E-2</v>
      </c>
      <c r="O41" s="212">
        <v>0.25403225806451613</v>
      </c>
      <c r="P41" s="207">
        <f>+('Balance Sheet'!K40+'Balance Sheet'!L40+'Balance Sheet'!M40)/'Balance Sheet'!G40</f>
        <v>0.43328205735021491</v>
      </c>
      <c r="Q41" s="208">
        <f>(+'Balance Sheet'!L40+'Balance Sheet'!I40)/('Balance Sheet'!P40+'Balance Sheet'!I40)</f>
        <v>0.27081482866626155</v>
      </c>
      <c r="R41" s="208">
        <f>+('Balance Sheet'!L40+'Balance Sheet'!I40-'Balance Sheet'!B40)/('Balance Sheet'!P40+'Balance Sheet'!I40-'Balance Sheet'!B40)</f>
        <v>0.24119478497762215</v>
      </c>
      <c r="S41" s="209">
        <v>12.808955223880597</v>
      </c>
      <c r="T41" s="265">
        <v>0.37310414560161775</v>
      </c>
    </row>
    <row r="42" spans="1:20" ht="15" x14ac:dyDescent="0.2">
      <c r="A42" s="170">
        <v>1999</v>
      </c>
      <c r="B42" s="198">
        <v>2.911239860950174</v>
      </c>
      <c r="C42" s="209">
        <v>5.0525641025641024</v>
      </c>
      <c r="D42" s="210">
        <v>7.6872188409632183E-2</v>
      </c>
      <c r="E42" s="201">
        <v>1.3709911478740386</v>
      </c>
      <c r="F42" s="202">
        <v>0.10539108982731099</v>
      </c>
      <c r="G42" s="201">
        <v>1.788128446318521</v>
      </c>
      <c r="H42" s="211">
        <v>0.18845280570872527</v>
      </c>
      <c r="I42" s="331">
        <f>(('Income - Historical'!Y42-'Income - Historical'!Y41)+'Income - Historical'!X42)/'Income - Historical'!Y41</f>
        <v>-9.0909090909090332E-3</v>
      </c>
      <c r="J42" s="331">
        <f>(('Income - Historical'!Y42+SUM('Income - Historical'!X40:X42))/'Income - Historical'!Y39)^(1/3)-1</f>
        <v>8.9481876789335502E-2</v>
      </c>
      <c r="K42" s="202">
        <f>+('Income - Historical'!M42+'Income - Historical'!J42*(1-Ratios!T42))/'Balance Sheet'!V41</f>
        <v>0.13485591400638808</v>
      </c>
      <c r="L42" s="202">
        <f>+'Income - Historical'!I42/AVERAGE('Balance Sheet'!Q40:Q41)</f>
        <v>0.21920258244634447</v>
      </c>
      <c r="M42" s="201">
        <v>14.784827586206896</v>
      </c>
      <c r="N42" s="202">
        <v>1.6792611251049538E-2</v>
      </c>
      <c r="O42" s="212">
        <v>0.24827586206896551</v>
      </c>
      <c r="P42" s="207">
        <f>+('Balance Sheet'!K41+'Balance Sheet'!L41+'Balance Sheet'!M41)/'Balance Sheet'!G41</f>
        <v>0.44712006717044489</v>
      </c>
      <c r="Q42" s="208">
        <f>(+'Balance Sheet'!L41+'Balance Sheet'!I41)/('Balance Sheet'!P41+'Balance Sheet'!I41)</f>
        <v>0.31029884696838966</v>
      </c>
      <c r="R42" s="208">
        <f>+('Balance Sheet'!L41+'Balance Sheet'!I41-'Balance Sheet'!B41)/('Balance Sheet'!P41+'Balance Sheet'!I41-'Balance Sheet'!B41)</f>
        <v>0.30468132215720384</v>
      </c>
      <c r="S42" s="209">
        <v>12.593984962406015</v>
      </c>
      <c r="T42" s="265">
        <v>0.3720276696930393</v>
      </c>
    </row>
    <row r="43" spans="1:20" ht="15" x14ac:dyDescent="0.2">
      <c r="A43" s="172">
        <v>2000</v>
      </c>
      <c r="B43" s="213">
        <v>2.9485942089802766</v>
      </c>
      <c r="C43" s="214">
        <v>4.9913901064495931</v>
      </c>
      <c r="D43" s="215">
        <v>6.1758997263989902E-2</v>
      </c>
      <c r="E43" s="216">
        <v>1.3467176846646827</v>
      </c>
      <c r="F43" s="217">
        <v>8.3171933802572956E-2</v>
      </c>
      <c r="G43" s="216">
        <v>1.8461337209302324</v>
      </c>
      <c r="H43" s="218">
        <v>0.15354651162790697</v>
      </c>
      <c r="I43" s="332">
        <f>(('Income - Historical'!Y43-'Income - Historical'!Y42)+'Income - Historical'!X43)/'Income - Historical'!Y42</f>
        <v>-9.7014925373134331E-2</v>
      </c>
      <c r="J43" s="334">
        <f>(('Income - Historical'!Y43+SUM('Income - Historical'!X41:X43))/'Income - Historical'!Y40)^(1/3)-1</f>
        <v>-1.4618911200629192E-2</v>
      </c>
      <c r="K43" s="217">
        <f>+('Income - Historical'!M43+'Income - Historical'!J43*(1-Ratios!T43))/'Balance Sheet'!V42</f>
        <v>0.11146979810614042</v>
      </c>
      <c r="L43" s="217">
        <f>+'Income - Historical'!I43/AVERAGE('Balance Sheet'!Q41:Q42)</f>
        <v>0.17825893519205102</v>
      </c>
      <c r="M43" s="216">
        <v>14.33939393939394</v>
      </c>
      <c r="N43" s="217">
        <v>2.2189349112426034E-2</v>
      </c>
      <c r="O43" s="219">
        <v>0.31818181818181818</v>
      </c>
      <c r="P43" s="220">
        <f>+('Balance Sheet'!K42+'Balance Sheet'!L42+'Balance Sheet'!M42)/'Balance Sheet'!G42</f>
        <v>0.46822008775050389</v>
      </c>
      <c r="Q43" s="221">
        <f>(+'Balance Sheet'!L42+'Balance Sheet'!I42)/('Balance Sheet'!P42+'Balance Sheet'!I42)</f>
        <v>0.34256675279931098</v>
      </c>
      <c r="R43" s="221">
        <f>+('Balance Sheet'!L42+'Balance Sheet'!I42-'Balance Sheet'!B42)/('Balance Sheet'!P42+'Balance Sheet'!I42-'Balance Sheet'!B42)</f>
        <v>0.334008097165992</v>
      </c>
      <c r="S43" s="214">
        <v>7.729903536977492</v>
      </c>
      <c r="T43" s="266">
        <v>0.3690874343048256</v>
      </c>
    </row>
    <row r="44" spans="1:20" s="4" customFormat="1" ht="15" x14ac:dyDescent="0.2">
      <c r="A44" s="170">
        <v>2001</v>
      </c>
      <c r="B44" s="198">
        <f>+'Balance Sheet'!E43/'Balance Sheet'!K43</f>
        <v>3.1113785557986873</v>
      </c>
      <c r="C44" s="209">
        <f>+('Income - Historical'!B44-'Income - Historical'!C44)/(('Balance Sheet'!D43+'Balance Sheet'!D42)/2)</f>
        <v>5.1793260545126074</v>
      </c>
      <c r="D44" s="210">
        <f>+'Income - Historical'!M44/'Income - Historical'!B44</f>
        <v>4.5602605863192182E-2</v>
      </c>
      <c r="E44" s="201">
        <f>+'Income - Historical'!B44/'Balance Sheet'!S43</f>
        <v>1.2124195045755293</v>
      </c>
      <c r="F44" s="202">
        <f t="shared" ref="F44:F49" si="0">+D44*E44</f>
        <v>5.5289488808004592E-2</v>
      </c>
      <c r="G44" s="201">
        <f>+'Balance Sheet'!S43/'Balance Sheet'!T43</f>
        <v>1.8539230685171022</v>
      </c>
      <c r="H44" s="384">
        <f t="shared" ref="H44:H49" si="1">+F44*G44</f>
        <v>0.10250245874767785</v>
      </c>
      <c r="I44" s="331">
        <f>(('Income - Historical'!Y44-'Income - Historical'!Y43)+'Income - Historical'!X44)/'Income - Historical'!Y43</f>
        <v>0.23970432946145717</v>
      </c>
      <c r="J44" s="331">
        <f>(('Income - Historical'!Y44+SUM('Income - Historical'!X42:X44))/'Income - Historical'!Y41)^(1/3)-1</f>
        <v>3.3132535427075727E-2</v>
      </c>
      <c r="K44" s="202">
        <f>+('Income - Historical'!M44+'Income - Historical'!J44*(1-Ratios!T44))/'Balance Sheet'!V43</f>
        <v>7.5732275370833588E-2</v>
      </c>
      <c r="L44" s="202">
        <f>+'Income - Historical'!I44/AVERAGE('Balance Sheet'!Q42:Q43)</f>
        <v>0.12454563185985069</v>
      </c>
      <c r="M44" s="201">
        <f>+'Income - Historical'!Y44/'Income - Historical'!V44</f>
        <v>24.468085106382979</v>
      </c>
      <c r="N44" s="202">
        <f>+'Income - Historical'!X44/'Income - Historical'!Y44</f>
        <v>2.0869565217391303E-2</v>
      </c>
      <c r="O44" s="212">
        <f>+'Income - Historical'!X44/'Income - Historical'!V44</f>
        <v>0.51063829787234039</v>
      </c>
      <c r="P44" s="207">
        <f>+('Balance Sheet'!K43+'Balance Sheet'!L43+'Balance Sheet'!M43)/'Balance Sheet'!G43</f>
        <v>0.45307509742447777</v>
      </c>
      <c r="Q44" s="208">
        <f>(+'Balance Sheet'!L43+'Balance Sheet'!I43)/('Balance Sheet'!P43+'Balance Sheet'!I43)</f>
        <v>0.33203903163723536</v>
      </c>
      <c r="R44" s="208">
        <f>+('Balance Sheet'!L43+'Balance Sheet'!I43-'Balance Sheet'!B43)/('Balance Sheet'!P43+'Balance Sheet'!I43-'Balance Sheet'!B43)</f>
        <v>0.28697062533789869</v>
      </c>
      <c r="S44" s="209">
        <f>+'Income - Historical'!I44/'Income - Historical'!J44</f>
        <v>6.5157699443413728</v>
      </c>
      <c r="T44" s="265">
        <f>+'Income - Historical'!L44/('Income - Historical'!L44+'Income - Historical'!M44)</f>
        <v>0.36898755465859401</v>
      </c>
    </row>
    <row r="45" spans="1:20" s="4" customFormat="1" ht="15" x14ac:dyDescent="0.2">
      <c r="A45" s="170">
        <v>2002</v>
      </c>
      <c r="B45" s="198">
        <f>+'Balance Sheet'!E44/'Balance Sheet'!K44</f>
        <v>2.488294314381271</v>
      </c>
      <c r="C45" s="209">
        <f>+('Income - Historical'!B45-'Income - Historical'!C45)/(('Balance Sheet'!D44+'Balance Sheet'!D43)/2)</f>
        <v>5.6236348818255912</v>
      </c>
      <c r="D45" s="210">
        <f>+'Income - Historical'!M45/'Income - Historical'!B45</f>
        <v>5.4567161383959922E-2</v>
      </c>
      <c r="E45" s="201">
        <f>+'Income - Historical'!B45/'Balance Sheet'!S44</f>
        <v>1.2356956899045415</v>
      </c>
      <c r="F45" s="202">
        <f t="shared" si="0"/>
        <v>6.7428406132484811E-2</v>
      </c>
      <c r="G45" s="201">
        <f>+'Balance Sheet'!S44/'Balance Sheet'!T44</f>
        <v>1.7988812280473527</v>
      </c>
      <c r="H45" s="211">
        <f t="shared" si="1"/>
        <v>0.12129569402887992</v>
      </c>
      <c r="I45" s="331">
        <f>(('Income - Historical'!Y45-'Income - Historical'!Y44)+'Income - Historical'!X45)/'Income - Historical'!Y44</f>
        <v>-2.6086956521738573E-3</v>
      </c>
      <c r="J45" s="331">
        <f>(('Income - Historical'!Y45+SUM('Income - Historical'!X43:X45))/'Income - Historical'!Y42)^(1/3)-1</f>
        <v>3.6001752389498876E-2</v>
      </c>
      <c r="K45" s="202">
        <f>+('Income - Historical'!M45+'Income - Historical'!J45*(1-Ratios!T45))/'Balance Sheet'!V44</f>
        <v>8.878555264675865E-2</v>
      </c>
      <c r="L45" s="202">
        <f>+'Income - Historical'!I45/AVERAGE('Balance Sheet'!Q43:Q44)</f>
        <v>0.14357651022346468</v>
      </c>
      <c r="M45" s="201">
        <f>+'Income - Historical'!Y45/'Income - Historical'!V45</f>
        <v>19.179487179487182</v>
      </c>
      <c r="N45" s="202">
        <f>+'Income - Historical'!X45/'Income - Historical'!Y45</f>
        <v>2.2281639928698752E-2</v>
      </c>
      <c r="O45" s="212">
        <f>+'Income - Historical'!X45/'Income - Historical'!V45</f>
        <v>0.42735042735042739</v>
      </c>
      <c r="P45" s="207">
        <f>+('Balance Sheet'!K44+'Balance Sheet'!L44+'Balance Sheet'!M44)/'Balance Sheet'!G44</f>
        <v>0.43534889034874752</v>
      </c>
      <c r="Q45" s="208">
        <f>(+'Balance Sheet'!L44+'Balance Sheet'!I44)/('Balance Sheet'!P44+'Balance Sheet'!I44)</f>
        <v>0.30892833575293654</v>
      </c>
      <c r="R45" s="208">
        <f>+('Balance Sheet'!L44+'Balance Sheet'!I44-'Balance Sheet'!B44)/('Balance Sheet'!P44+'Balance Sheet'!I44-'Balance Sheet'!B44)</f>
        <v>0.25351058521633762</v>
      </c>
      <c r="S45" s="209">
        <f>+'Income - Historical'!I45/'Income - Historical'!J45</f>
        <v>9.5154394299287421</v>
      </c>
      <c r="T45" s="265">
        <f>+'Income - Historical'!L45/('Income - Historical'!L45+'Income - Historical'!M45)</f>
        <v>0.35873452544704265</v>
      </c>
    </row>
    <row r="46" spans="1:20" s="4" customFormat="1" ht="15" x14ac:dyDescent="0.2">
      <c r="A46" s="170">
        <v>2003</v>
      </c>
      <c r="B46" s="198">
        <f>+'Balance Sheet'!E45/'Balance Sheet'!K45</f>
        <v>2.9068541300527242</v>
      </c>
      <c r="C46" s="209">
        <f>+('Income - Historical'!B46-'Income - Historical'!C46)/(('Balance Sheet'!D45+'Balance Sheet'!D44)/2)</f>
        <v>5.767942583732057</v>
      </c>
      <c r="D46" s="210">
        <f>+'Income - Historical'!M46/'Income - Historical'!B46</f>
        <v>4.6921288911170873E-2</v>
      </c>
      <c r="E46" s="201">
        <f>+'Income - Historical'!B46/'Balance Sheet'!S45</f>
        <v>1.1874763219137308</v>
      </c>
      <c r="F46" s="202">
        <f t="shared" si="0"/>
        <v>5.571791957568871E-2</v>
      </c>
      <c r="G46" s="201">
        <f>+'Balance Sheet'!S45/'Balance Sheet'!T45</f>
        <v>1.8066440147644771</v>
      </c>
      <c r="H46" s="211">
        <f t="shared" si="1"/>
        <v>0.10066244591654649</v>
      </c>
      <c r="I46" s="331">
        <f>(('Income - Historical'!Y46-'Income - Historical'!Y45)+'Income - Historical'!X46)/'Income - Historical'!Y45</f>
        <v>-1.2032085561497425E-2</v>
      </c>
      <c r="J46" s="331">
        <f>(('Income - Historical'!Y46+SUM('Income - Historical'!X44:X46))/'Income - Historical'!Y43)^(1/3)-1</f>
        <v>6.9195216027282402E-2</v>
      </c>
      <c r="K46" s="202">
        <f>+('Income - Historical'!M46+'Income - Historical'!J46*(1-Ratios!T46))/'Balance Sheet'!V45</f>
        <v>7.6714878845698581E-2</v>
      </c>
      <c r="L46" s="202">
        <f>+'Income - Historical'!I46/AVERAGE('Balance Sheet'!Q44:Q45)</f>
        <v>0.12368801239316983</v>
      </c>
      <c r="M46" s="201">
        <f>+'Income - Historical'!Y46/'Income - Historical'!V46</f>
        <v>20.599999999999998</v>
      </c>
      <c r="N46" s="202">
        <f>+'Income - Historical'!X46/'Income - Historical'!Y46</f>
        <v>2.4965325936199725E-2</v>
      </c>
      <c r="O46" s="212">
        <f>+'Income - Historical'!X46/'Income - Historical'!V46</f>
        <v>0.51428571428571435</v>
      </c>
      <c r="P46" s="207">
        <f>+('Balance Sheet'!K45+'Balance Sheet'!L45+'Balance Sheet'!M45)/'Balance Sheet'!G45</f>
        <v>0.45651335578579322</v>
      </c>
      <c r="Q46" s="208">
        <f>(+'Balance Sheet'!L45+'Balance Sheet'!I45)/('Balance Sheet'!P45+'Balance Sheet'!I45)</f>
        <v>0.33447623551667061</v>
      </c>
      <c r="R46" s="208">
        <f>+('Balance Sheet'!L45+'Balance Sheet'!I45-'Balance Sheet'!B45)/('Balance Sheet'!P45+'Balance Sheet'!I45-'Balance Sheet'!B45)</f>
        <v>0.23396727111897395</v>
      </c>
      <c r="S46" s="209">
        <f>+'Income - Historical'!I46/'Income - Historical'!J46</f>
        <v>7.5756929637526653</v>
      </c>
      <c r="T46" s="265">
        <f>+'Income - Historical'!L46/('Income - Historical'!L46+'Income - Historical'!M46)</f>
        <v>0.34655664868295777</v>
      </c>
    </row>
    <row r="47" spans="1:20" s="4" customFormat="1" ht="15" x14ac:dyDescent="0.2">
      <c r="A47" s="170">
        <v>2004</v>
      </c>
      <c r="B47" s="198">
        <f>+'Balance Sheet'!E46/'Balance Sheet'!K46</f>
        <v>2.1517298874531057</v>
      </c>
      <c r="C47" s="209">
        <f>+('Income - Historical'!B47-'Income - Historical'!C47)/(('Balance Sheet'!D46+'Balance Sheet'!D45)/2)</f>
        <v>6.2514242878560715</v>
      </c>
      <c r="D47" s="210">
        <f>+'Income - Historical'!M47/'Income - Historical'!B47</f>
        <v>5.6120342149247854E-2</v>
      </c>
      <c r="E47" s="201">
        <f>+'Income - Historical'!B47/'Balance Sheet'!S46</f>
        <v>1.2577130915431129</v>
      </c>
      <c r="F47" s="202">
        <f t="shared" si="0"/>
        <v>7.0583289022987786E-2</v>
      </c>
      <c r="G47" s="201">
        <f>+'Balance Sheet'!S46/'Balance Sheet'!T46</f>
        <v>1.8266811230828306</v>
      </c>
      <c r="H47" s="211">
        <f t="shared" si="1"/>
        <v>0.12893316166339136</v>
      </c>
      <c r="I47" s="331">
        <f>(('Income - Historical'!Y47-'Income - Historical'!Y46)+'Income - Historical'!X47)/'Income - Historical'!Y46</f>
        <v>0.34119278779472961</v>
      </c>
      <c r="J47" s="331">
        <f>(('Income - Historical'!Y47+SUM('Income - Historical'!X45:X47))/'Income - Historical'!Y44)^(1/3)-1</f>
        <v>9.3214911290202096E-2</v>
      </c>
      <c r="K47" s="202">
        <f>+('Income - Historical'!M47+'Income - Historical'!J47*(1-Ratios!T47))/'Balance Sheet'!V46</f>
        <v>9.7332343475301702E-2</v>
      </c>
      <c r="L47" s="202">
        <f>+'Income - Historical'!I47/AVERAGE('Balance Sheet'!Q45:Q46)</f>
        <v>0.15170283724063152</v>
      </c>
      <c r="M47" s="201">
        <f>+'Income - Historical'!Y47/'Income - Historical'!V47</f>
        <v>19.606896551724137</v>
      </c>
      <c r="N47" s="202">
        <f>+'Income - Historical'!X47/'Income - Historical'!Y47</f>
        <v>2.0400984875131901E-2</v>
      </c>
      <c r="O47" s="212">
        <f>+'Income - Historical'!X47/'Income - Historical'!V47</f>
        <v>0.39999999999999997</v>
      </c>
      <c r="P47" s="207">
        <f>+('Balance Sheet'!K46+'Balance Sheet'!L46+'Balance Sheet'!M46)/'Balance Sheet'!G46</f>
        <v>0.44889450109596873</v>
      </c>
      <c r="Q47" s="208">
        <f>(+'Balance Sheet'!L46+'Balance Sheet'!I46)/('Balance Sheet'!P46+'Balance Sheet'!I46)</f>
        <v>0.32446618483607687</v>
      </c>
      <c r="R47" s="208">
        <f>+('Balance Sheet'!L46+'Balance Sheet'!I46-'Balance Sheet'!B46)/('Balance Sheet'!P46+'Balance Sheet'!I46-'Balance Sheet'!B46)</f>
        <v>0.21902401829965693</v>
      </c>
      <c r="S47" s="209">
        <f>+'Income - Historical'!I47/'Income - Historical'!J47</f>
        <v>10.058823529411764</v>
      </c>
      <c r="T47" s="265">
        <f>+'Income - Historical'!L47/('Income - Historical'!L47+'Income - Historical'!M47)</f>
        <v>0.3246568859441552</v>
      </c>
    </row>
    <row r="48" spans="1:20" ht="15" x14ac:dyDescent="0.2">
      <c r="A48" s="172">
        <v>2005</v>
      </c>
      <c r="B48" s="213">
        <f>+'Balance Sheet'!E47/'Balance Sheet'!K47</f>
        <v>2.3892791327913274</v>
      </c>
      <c r="C48" s="214">
        <f>+('Income - Historical'!B48-'Income - Historical'!C48)/(('Balance Sheet'!D47+'Balance Sheet'!D46)/2)</f>
        <v>5.9565355545356038</v>
      </c>
      <c r="D48" s="215">
        <f>+'Income - Historical'!M48/'Income - Historical'!B48</f>
        <v>4.7421357537787992E-2</v>
      </c>
      <c r="E48" s="216">
        <f>+'Income - Historical'!B48/'Balance Sheet'!S47</f>
        <v>1.2847063506695842</v>
      </c>
      <c r="F48" s="217">
        <f t="shared" si="0"/>
        <v>6.0922519186169186E-2</v>
      </c>
      <c r="G48" s="216">
        <f>+'Balance Sheet'!S47/'Balance Sheet'!T47</f>
        <v>1.8083484361067199</v>
      </c>
      <c r="H48" s="218">
        <f t="shared" si="1"/>
        <v>0.11016914229399069</v>
      </c>
      <c r="I48" s="332">
        <f>(('Income - Historical'!Y48-'Income - Historical'!Y47)+'Income - Historical'!X48)/'Income - Historical'!Y47</f>
        <v>-0.17024270137179032</v>
      </c>
      <c r="J48" s="334">
        <f>(('Income - Historical'!Y48+SUM('Income - Historical'!X46:X48))/'Income - Historical'!Y45)^(1/3)-1</f>
        <v>3.264242660415273E-2</v>
      </c>
      <c r="K48" s="217">
        <f>+('Income - Historical'!M48+'Income - Historical'!J48*(1-Ratios!T48))/'Balance Sheet'!V47</f>
        <v>8.6763520715185685E-2</v>
      </c>
      <c r="L48" s="217">
        <f>+'Income - Historical'!I48/AVERAGE('Balance Sheet'!Q46:Q47)</f>
        <v>0.12198386654065976</v>
      </c>
      <c r="M48" s="216">
        <f>+'Income - Historical'!Y48/'Income - Historical'!V48</f>
        <v>17.685961002785518</v>
      </c>
      <c r="N48" s="217">
        <f>+'Income - Historical'!X48/'Income - Historical'!Y48</f>
        <v>2.7439024390243903E-2</v>
      </c>
      <c r="O48" s="441">
        <f>+'Income - Historical'!X48/'Income - Historical'!V48</f>
        <v>0.48528551532033432</v>
      </c>
      <c r="P48" s="220">
        <f>+('Balance Sheet'!K47+'Balance Sheet'!L47+'Balance Sheet'!M47)/'Balance Sheet'!G47</f>
        <v>0.44505669537975773</v>
      </c>
      <c r="Q48" s="219">
        <f>(+'Balance Sheet'!L47+'Balance Sheet'!I47)/('Balance Sheet'!P47+'Balance Sheet'!I47)</f>
        <v>0.29890522058631802</v>
      </c>
      <c r="R48" s="219">
        <f>+('Balance Sheet'!L47+'Balance Sheet'!I47-'Balance Sheet'!B47)/('Balance Sheet'!P47+'Balance Sheet'!I47-'Balance Sheet'!B47)</f>
        <v>0.28532488178474058</v>
      </c>
      <c r="S48" s="214">
        <f>+'Income - Historical'!I48/'Income - Historical'!J48</f>
        <v>8.4839400428265499</v>
      </c>
      <c r="T48" s="266">
        <f>+'Income - Historical'!L48/('Income - Historical'!L48+'Income - Historical'!M48)</f>
        <v>0.2944974733295902</v>
      </c>
    </row>
    <row r="49" spans="1:20" s="4" customFormat="1" ht="15.75" thickBot="1" x14ac:dyDescent="0.25">
      <c r="A49" s="253">
        <v>2006</v>
      </c>
      <c r="B49" s="254">
        <f>+'Balance Sheet'!E48/'Balance Sheet'!K48</f>
        <v>2.7403067129629628</v>
      </c>
      <c r="C49" s="255">
        <f>+('Income - Historical'!B49-'Income - Historical'!C49)/(('Balance Sheet'!D48+'Balance Sheet'!D47)/2)</f>
        <v>5.6569576688364016</v>
      </c>
      <c r="D49" s="437">
        <f>+'Income - Historical'!M49/'Income - Historical'!B49</f>
        <v>5.4546445308242819E-2</v>
      </c>
      <c r="E49" s="438">
        <f>+'Income - Historical'!B49/'Balance Sheet'!S48</f>
        <v>1.3237439202070036</v>
      </c>
      <c r="F49" s="257">
        <f t="shared" si="0"/>
        <v>7.2205525345690275E-2</v>
      </c>
      <c r="G49" s="256">
        <f>+'Balance Sheet'!S48/'Balance Sheet'!T48</f>
        <v>1.8082142555905598</v>
      </c>
      <c r="H49" s="258">
        <f t="shared" si="1"/>
        <v>0.13056306026248263</v>
      </c>
      <c r="I49" s="439">
        <f>(('Income - Historical'!Y49-'Income - Historical'!Y48)+'Income - Historical'!X49)/'Income - Historical'!Y48</f>
        <v>7.0121951219512091E-2</v>
      </c>
      <c r="J49" s="440">
        <f>(('Income - Historical'!Y49+SUM('Income - Historical'!X47:X49))/'Income - Historical'!Y46)^(1/3)-1</f>
        <v>6.0251261496232056E-2</v>
      </c>
      <c r="K49" s="257">
        <f>+('Income - Historical'!M49+'Income - Historical'!J49*(1-Ratios!T49))/'Balance Sheet'!V48</f>
        <v>9.8455178235787505E-2</v>
      </c>
      <c r="L49" s="257">
        <f>+'Income - Historical'!I49/AVERAGE('Balance Sheet'!Q47:Q48)</f>
        <v>0.14088333559126648</v>
      </c>
      <c r="M49" s="256">
        <f>+'Income - Historical'!Y49/'Income - Historical'!V49</f>
        <v>14.866866466866465</v>
      </c>
      <c r="N49" s="257">
        <f>+'Income - Historical'!X49/'Income - Historical'!Y49</f>
        <v>2.8033472803347285E-2</v>
      </c>
      <c r="O49" s="442">
        <f>+'Income - Historical'!X49/'Income - Historical'!V49</f>
        <v>0.41676989676989679</v>
      </c>
      <c r="P49" s="260">
        <f>+('Balance Sheet'!K48+'Balance Sheet'!L48+'Balance Sheet'!M48)/'Balance Sheet'!G48</f>
        <v>0.4487843762455162</v>
      </c>
      <c r="Q49" s="261">
        <f>(+'Balance Sheet'!L48+'Balance Sheet'!I48)/('Balance Sheet'!P48+'Balance Sheet'!I48)</f>
        <v>0.30666556355312874</v>
      </c>
      <c r="R49" s="259">
        <f>+('Balance Sheet'!L48+'Balance Sheet'!I48-'Balance Sheet'!B48)/('Balance Sheet'!P48+'Balance Sheet'!I48-'Balance Sheet'!B48)</f>
        <v>0.28049338904470272</v>
      </c>
      <c r="S49" s="443">
        <f>+'Income - Historical'!I49/'Income - Historical'!J49</f>
        <v>8.5765124555160135</v>
      </c>
      <c r="T49" s="444">
        <f>+'Income - Historical'!L49/('Income - Historical'!L49+'Income - Historical'!M49)</f>
        <v>0.30933762649494018</v>
      </c>
    </row>
    <row r="50" spans="1:20" s="3" customFormat="1" ht="6" customHeight="1" thickTop="1" x14ac:dyDescent="0.2">
      <c r="A50" s="252"/>
      <c r="B50" s="204"/>
      <c r="C50" s="204"/>
      <c r="D50" s="205"/>
      <c r="E50" s="204"/>
      <c r="F50" s="205"/>
      <c r="G50" s="204"/>
      <c r="H50" s="205"/>
      <c r="I50" s="205"/>
      <c r="J50" s="205"/>
      <c r="K50" s="205"/>
      <c r="L50" s="205"/>
      <c r="M50" s="204"/>
      <c r="N50" s="205"/>
      <c r="O50" s="206"/>
      <c r="P50" s="206"/>
      <c r="Q50" s="251"/>
      <c r="R50" s="206"/>
      <c r="S50" s="204"/>
      <c r="T50" s="205"/>
    </row>
    <row r="51" spans="1:20" s="3" customFormat="1" ht="18.75" x14ac:dyDescent="0.3">
      <c r="A51" s="328" t="s">
        <v>226</v>
      </c>
      <c r="B51" s="327"/>
      <c r="C51" s="327"/>
      <c r="D51" s="327"/>
      <c r="E51" s="327"/>
      <c r="F51" s="327"/>
      <c r="G51" s="327"/>
      <c r="H51" s="327"/>
      <c r="I51" s="327"/>
      <c r="J51" s="327"/>
      <c r="K51" s="327"/>
      <c r="L51" s="327"/>
      <c r="M51" s="327"/>
      <c r="N51" s="327"/>
      <c r="O51" s="327"/>
      <c r="P51" s="327"/>
      <c r="Q51" s="327"/>
      <c r="R51" s="327"/>
      <c r="S51" s="327"/>
      <c r="T51" s="327"/>
    </row>
    <row r="52" spans="1:20" s="4" customFormat="1" ht="15" x14ac:dyDescent="0.2">
      <c r="A52" s="170">
        <v>2005</v>
      </c>
      <c r="B52" s="198">
        <f>+'Balance Sheet'!E51/'Balance Sheet'!K51</f>
        <v>2.1271941246939949</v>
      </c>
      <c r="C52" s="209" t="s">
        <v>164</v>
      </c>
      <c r="D52" s="210">
        <f>+'Income - Continuing Ops'!N34/'Income - Continuing Ops'!B34</f>
        <v>5.9350503919372903E-2</v>
      </c>
      <c r="E52" s="201" t="s">
        <v>164</v>
      </c>
      <c r="F52" s="202" t="s">
        <v>164</v>
      </c>
      <c r="G52" s="201" t="s">
        <v>164</v>
      </c>
      <c r="H52" s="211" t="s">
        <v>164</v>
      </c>
      <c r="I52" s="344">
        <f>I48</f>
        <v>-0.17024270137179032</v>
      </c>
      <c r="J52" s="344">
        <f>J48</f>
        <v>3.264242660415273E-2</v>
      </c>
      <c r="K52" s="202" t="s">
        <v>164</v>
      </c>
      <c r="L52" s="202" t="s">
        <v>164</v>
      </c>
      <c r="M52" s="201">
        <f>+'Income - Continuing Ops'!Z34/'Income - Continuing Ops'!W34</f>
        <v>17.842159775190684</v>
      </c>
      <c r="N52" s="202">
        <f>+'Income - Continuing Ops'!Y34/'Income - Continuing Ops'!Z34</f>
        <v>2.7439024390243903E-2</v>
      </c>
      <c r="O52" s="299">
        <f>+'Income - Continuing Ops'!Y34/'Income - Continuing Ops'!W34</f>
        <v>0.48957145724608581</v>
      </c>
      <c r="P52" s="207">
        <f>('Balance Sheet'!K51+'Balance Sheet'!L51+'Balance Sheet'!M51)/'Balance Sheet'!G51</f>
        <v>0.5236193471099132</v>
      </c>
      <c r="Q52" s="420">
        <f>+Q48</f>
        <v>0.29890522058631802</v>
      </c>
      <c r="R52" s="420">
        <f>+R48</f>
        <v>0.28532488178474058</v>
      </c>
      <c r="S52" s="209">
        <f>+'Income - Continuing Ops'!F34/'Income - Continuing Ops'!G34</f>
        <v>8.9649890590809616</v>
      </c>
      <c r="T52" s="265">
        <f>+'Income - Continuing Ops'!I34/('Income - Continuing Ops'!I34+'Income - Continuing Ops'!J34)</f>
        <v>0.31975175391257421</v>
      </c>
    </row>
    <row r="53" spans="1:20" s="4" customFormat="1" ht="15" x14ac:dyDescent="0.2">
      <c r="A53" s="170">
        <v>2006</v>
      </c>
      <c r="B53" s="198">
        <f>+'Balance Sheet'!E52/'Balance Sheet'!K52</f>
        <v>2.5165691534558516</v>
      </c>
      <c r="C53" s="209">
        <f>('Income - Continuing Ops'!B35-'Income - Continuing Ops'!C35)/(('Balance Sheet'!D52+'Balance Sheet'!D51)/2)</f>
        <v>5.5455418600928441</v>
      </c>
      <c r="D53" s="210">
        <f>+'Income - Continuing Ops'!N35/'Income - Continuing Ops'!B35</f>
        <v>5.6973446764630072E-2</v>
      </c>
      <c r="E53" s="201">
        <f>+'Income - Continuing Ops'!B35/'Balance Sheet'!S52</f>
        <v>1.2478505000877347</v>
      </c>
      <c r="F53" s="202">
        <f t="shared" ref="F53:F58" si="2">+D53*E53</f>
        <v>7.1094344036965559E-2</v>
      </c>
      <c r="G53" s="201">
        <f>+'Balance Sheet'!S52/'Balance Sheet'!T52</f>
        <v>2.1038771661585507</v>
      </c>
      <c r="H53" s="211">
        <f t="shared" ref="H53:H58" si="3">+F53*G53</f>
        <v>0.14957376706239217</v>
      </c>
      <c r="I53" s="331">
        <f>(('Income - Continuing Ops'!Z35-'Income - Continuing Ops'!Z34)+'Income - Continuing Ops'!Y35)/'Income - Continuing Ops'!Z34</f>
        <v>7.0121951219512091E-2</v>
      </c>
      <c r="J53" s="331">
        <f>(('Income - Continuing Ops'!Z35+SUM('Income - Continuing Ops'!Y33:Y35))/'Income - Continuing Ops'!Z32)^(1/3)-1</f>
        <v>6.0251261496232056E-2</v>
      </c>
      <c r="K53" s="202">
        <f>+('Income - Continuing Ops'!N35+'Income - Continuing Ops'!G35*(1-Ratios!T53))/'Balance Sheet'!V52</f>
        <v>0.10081452279086274</v>
      </c>
      <c r="L53" s="202">
        <f>+'Income - Continuing Ops'!F35/AVERAGE('Balance Sheet'!Q51,'Balance Sheet'!Q52)</f>
        <v>0.15007178294291898</v>
      </c>
      <c r="M53" s="201">
        <f>+'Income - Continuing Ops'!Z35/'Income - Continuing Ops'!W35</f>
        <v>18.364952694364458</v>
      </c>
      <c r="N53" s="202">
        <f>+'Income - Continuing Ops'!Y35/'Income - Continuing Ops'!Z35</f>
        <v>2.8033472803347285E-2</v>
      </c>
      <c r="O53" s="299">
        <f>+'Income - Continuing Ops'!Y35/'Income - Continuing Ops'!W35</f>
        <v>0.51483340189222548</v>
      </c>
      <c r="P53" s="207">
        <f>('Balance Sheet'!K52+'Balance Sheet'!L52+'Balance Sheet'!M52)/'Balance Sheet'!G52</f>
        <v>0.52570575461454949</v>
      </c>
      <c r="Q53" s="420">
        <f>+Q49</f>
        <v>0.30666556355312874</v>
      </c>
      <c r="R53" s="420">
        <f>+R49</f>
        <v>0.28049338904470272</v>
      </c>
      <c r="S53" s="209">
        <f>+'Income - Continuing Ops'!F35/'Income - Continuing Ops'!G35</f>
        <v>7.6180811808118083</v>
      </c>
      <c r="T53" s="265">
        <f>+'Income - Continuing Ops'!I35/('Income - Continuing Ops'!I35+'Income - Continuing Ops'!J35)</f>
        <v>0.32456861133935905</v>
      </c>
    </row>
    <row r="54" spans="1:20" s="4" customFormat="1" ht="15" x14ac:dyDescent="0.2">
      <c r="A54" s="170">
        <v>2007</v>
      </c>
      <c r="B54" s="198">
        <f>+'Balance Sheet'!E53/'Balance Sheet'!K53</f>
        <v>2.1207353552139594</v>
      </c>
      <c r="C54" s="209">
        <f>('Income - Continuing Ops'!B36-'Income - Continuing Ops'!C36)/(('Balance Sheet'!D53+'Balance Sheet'!D52)/2)</f>
        <v>5.5708632803036418</v>
      </c>
      <c r="D54" s="210">
        <f>+'Income - Continuing Ops'!N36/'Income - Continuing Ops'!B36</f>
        <v>5.0917647058823526E-2</v>
      </c>
      <c r="E54" s="201">
        <f>+'Income - Continuing Ops'!B36/'Balance Sheet'!S53</f>
        <v>1.2150350437548416</v>
      </c>
      <c r="F54" s="202">
        <f t="shared" si="2"/>
        <v>6.1866725522011223E-2</v>
      </c>
      <c r="G54" s="201">
        <f>+'Balance Sheet'!S53/'Balance Sheet'!T53</f>
        <v>2.1234314093897804</v>
      </c>
      <c r="H54" s="211">
        <f t="shared" si="3"/>
        <v>0.13136974816953498</v>
      </c>
      <c r="I54" s="331">
        <f>(('Income - Continuing Ops'!Z36-'Income - Continuing Ops'!Z35)+'Income - Continuing Ops'!Y36)/'Income - Continuing Ops'!Z35</f>
        <v>-0.23765690376569026</v>
      </c>
      <c r="J54" s="331">
        <f>(('Income - Continuing Ops'!Z36+SUM('Income - Continuing Ops'!Y34:Y36))/'Income - Continuing Ops'!Z33)^(1/3)-1</f>
        <v>-0.1177987857226368</v>
      </c>
      <c r="K54" s="202">
        <f>+('Income - Continuing Ops'!N36+'Income - Continuing Ops'!G36*(1-Ratios!T54))/'Balance Sheet'!V53</f>
        <v>9.0927489303064435E-2</v>
      </c>
      <c r="L54" s="202">
        <f>+'Income - Continuing Ops'!F36/AVERAGE('Balance Sheet'!Q52,'Balance Sheet'!Q53)</f>
        <v>0.13500435879066136</v>
      </c>
      <c r="M54" s="201">
        <f>+'Income - Continuing Ops'!Z36/'Income - Continuing Ops'!W36</f>
        <v>14.490351201478747</v>
      </c>
      <c r="N54" s="202">
        <f>+'Income - Continuing Ops'!Y36/'Income - Continuing Ops'!Z36</f>
        <v>4.472477064220183E-2</v>
      </c>
      <c r="O54" s="299">
        <f>+'Income - Continuing Ops'!Y36/'Income - Continuing Ops'!W36</f>
        <v>0.64807763401109075</v>
      </c>
      <c r="P54" s="207">
        <f>('Balance Sheet'!K53+'Balance Sheet'!L53+'Balance Sheet'!M53)/'Balance Sheet'!G53</f>
        <v>0.5324262854334656</v>
      </c>
      <c r="Q54" s="420">
        <v>0.30599999999999999</v>
      </c>
      <c r="R54" s="420">
        <v>0.28000000000000003</v>
      </c>
      <c r="S54" s="209">
        <f>+'Income - Continuing Ops'!F36/'Income - Continuing Ops'!G36</f>
        <v>6.28839590443686</v>
      </c>
      <c r="T54" s="265">
        <f>+'Income - Continuing Ops'!I36/('Income - Continuing Ops'!I36+'Income - Continuing Ops'!J36)</f>
        <v>0.3049467752035066</v>
      </c>
    </row>
    <row r="55" spans="1:20" s="4" customFormat="1" ht="15" x14ac:dyDescent="0.2">
      <c r="A55" s="170">
        <v>2008</v>
      </c>
      <c r="B55" s="198">
        <f>+'Balance Sheet'!E54/'Balance Sheet'!K54</f>
        <v>2.4686532507739933</v>
      </c>
      <c r="C55" s="209">
        <f>('Income - Continuing Ops'!B37-'Income - Continuing Ops'!C37)/(('Balance Sheet'!D54+'Balance Sheet'!D53)/2)</f>
        <v>6.2116022099447505</v>
      </c>
      <c r="D55" s="210">
        <f>+'Income - Continuing Ops'!N37/'Income - Continuing Ops'!B37</f>
        <v>3.5794018792473216E-2</v>
      </c>
      <c r="E55" s="201">
        <f>+'Income - Continuing Ops'!B37/'Balance Sheet'!S54</f>
        <v>1.2358216367473889</v>
      </c>
      <c r="F55" s="202">
        <f t="shared" si="2"/>
        <v>4.4235022889881043E-2</v>
      </c>
      <c r="G55" s="201">
        <f>+'Balance Sheet'!S54/'Balance Sheet'!T54</f>
        <v>2.0398966164396315</v>
      </c>
      <c r="H55" s="211">
        <f t="shared" si="3"/>
        <v>9.0234873521197995E-2</v>
      </c>
      <c r="I55" s="331">
        <f>(('Income - Continuing Ops'!Z37-'Income - Continuing Ops'!Z36)+'Income - Continuing Ops'!Y37)/'Income - Continuing Ops'!Z36</f>
        <v>-7.1674311926605602E-2</v>
      </c>
      <c r="J55" s="331">
        <f>(('Income - Continuing Ops'!Z37+SUM('Income - Continuing Ops'!Y35:Y37))/'Income - Continuing Ops'!Z34)^(1/3)-1</f>
        <v>-8.4112287984021705E-2</v>
      </c>
      <c r="K55" s="202">
        <f>+('Income - Continuing Ops'!N37+'Income - Continuing Ops'!G37*(1-Ratios!T55))/'Balance Sheet'!V54</f>
        <v>6.62555180001866E-2</v>
      </c>
      <c r="L55" s="202">
        <f>+'Income - Continuing Ops'!F37/AVERAGE('Balance Sheet'!Q53,'Balance Sheet'!Q54)</f>
        <v>0.10602738001166186</v>
      </c>
      <c r="M55" s="201">
        <f>+'Income - Continuing Ops'!Z37/'Income - Continuing Ops'!W37</f>
        <v>17.511706648389296</v>
      </c>
      <c r="N55" s="202">
        <f>+'Income - Continuing Ops'!Y37/'Income - Continuing Ops'!Z37</f>
        <v>6.583278472679395E-2</v>
      </c>
      <c r="O55" s="299">
        <f>+'Income - Continuing Ops'!Y37/'Income - Continuing Ops'!W37</f>
        <v>1.152844413982179</v>
      </c>
      <c r="P55" s="207">
        <f>('Balance Sheet'!K54+'Balance Sheet'!L54+'Balance Sheet'!M54)/'Balance Sheet'!G54</f>
        <v>0.48424549295320413</v>
      </c>
      <c r="Q55" s="420">
        <v>0.32200000000000001</v>
      </c>
      <c r="R55" s="420">
        <v>0.28399999999999997</v>
      </c>
      <c r="S55" s="209">
        <f>+'Income - Continuing Ops'!F37/'Income - Continuing Ops'!G37</f>
        <v>5.5847107438016543</v>
      </c>
      <c r="T55" s="265">
        <f>+'Income - Continuing Ops'!I37/('Income - Continuing Ops'!I37+'Income - Continuing Ops'!J37)</f>
        <v>0.34735472679965296</v>
      </c>
    </row>
    <row r="56" spans="1:20" s="4" customFormat="1" ht="15" x14ac:dyDescent="0.2">
      <c r="A56" s="170">
        <v>2009</v>
      </c>
      <c r="B56" s="198">
        <f>+'Balance Sheet'!E55/'Balance Sheet'!K55</f>
        <v>2.2507990223726262</v>
      </c>
      <c r="C56" s="209">
        <f>('Income - Continuing Ops'!B38-'Income - Continuing Ops'!C38)/(('Balance Sheet'!D55+'Balance Sheet'!D54)/2)</f>
        <v>4.6634221878110829</v>
      </c>
      <c r="D56" s="210">
        <f>+'Income - Continuing Ops'!N38/'Income - Continuing Ops'!B38</f>
        <v>4.5940890385334832E-2</v>
      </c>
      <c r="E56" s="201">
        <f>+'Income - Continuing Ops'!B38/'Balance Sheet'!S55</f>
        <v>0.87377212624421829</v>
      </c>
      <c r="F56" s="202">
        <f t="shared" si="2"/>
        <v>4.0141869473546581E-2</v>
      </c>
      <c r="G56" s="201">
        <f>+'Balance Sheet'!S55/'Balance Sheet'!T55</f>
        <v>1.9520467089940339</v>
      </c>
      <c r="H56" s="211">
        <f t="shared" si="3"/>
        <v>7.8358804198704668E-2</v>
      </c>
      <c r="I56" s="331">
        <f>(('Income - Continuing Ops'!Z38-'Income - Continuing Ops'!Z37)+'Income - Continuing Ops'!Y38)/'Income - Continuing Ops'!Z37</f>
        <v>0.41013824884792621</v>
      </c>
      <c r="J56" s="331">
        <f>(('Income - Continuing Ops'!Z38+SUM('Income - Continuing Ops'!Y36:Y38))/'Income - Continuing Ops'!Z35)^(1/3)-1</f>
        <v>-9.8597970657785527E-3</v>
      </c>
      <c r="K56" s="202">
        <f>+('Income - Continuing Ops'!N38+'Income - Continuing Ops'!G38*(1-Ratios!T56))/'Balance Sheet'!V55</f>
        <v>5.7958775669261629E-2</v>
      </c>
      <c r="L56" s="202">
        <f>+'Income - Continuing Ops'!F38/AVERAGE('Balance Sheet'!Q54,'Balance Sheet'!Q55)</f>
        <v>9.6987320661121687E-2</v>
      </c>
      <c r="M56" s="201">
        <f>+'Income - Continuing Ops'!Z38/'Income - Continuing Ops'!W38</f>
        <v>26.579804560260587</v>
      </c>
      <c r="N56" s="202">
        <f>+'Income - Continuing Ops'!Y38/'Income - Continuing Ops'!Z38</f>
        <v>0.05</v>
      </c>
      <c r="O56" s="299">
        <f>+'Income - Continuing Ops'!Y38/'Income - Continuing Ops'!W38</f>
        <v>1.3289902280130295</v>
      </c>
      <c r="P56" s="207">
        <f>('Balance Sheet'!K55+'Balance Sheet'!L55+'Balance Sheet'!M55)/'Balance Sheet'!G55</f>
        <v>0.49128446447507956</v>
      </c>
      <c r="Q56" s="420">
        <v>0.312</v>
      </c>
      <c r="R56" s="420">
        <v>0.23699999999999999</v>
      </c>
      <c r="S56" s="209">
        <f>+'Income - Continuing Ops'!F38/'Income - Continuing Ops'!G38</f>
        <v>6.0804289544235921</v>
      </c>
      <c r="T56" s="265">
        <f>+'Income - Continuing Ops'!I38/('Income - Continuing Ops'!I38+'Income - Continuing Ops'!J38)</f>
        <v>0.35351462288353003</v>
      </c>
    </row>
    <row r="57" spans="1:20" s="4" customFormat="1" ht="15" x14ac:dyDescent="0.2">
      <c r="A57" s="359">
        <v>2010</v>
      </c>
      <c r="B57" s="216">
        <f>+'Balance Sheet'!E56/'Balance Sheet'!K56</f>
        <v>2.330975143403442</v>
      </c>
      <c r="C57" s="214">
        <f>('Income - Continuing Ops'!B39-'Income - Continuing Ops'!C39)/(('Balance Sheet'!D56+'Balance Sheet'!D55)/2)</f>
        <v>5.639033633349122</v>
      </c>
      <c r="D57" s="215">
        <f>+'Income - Continuing Ops'!N39/'Income - Continuing Ops'!B39</f>
        <v>5.7110261056304935E-2</v>
      </c>
      <c r="E57" s="216">
        <f>+'Income - Continuing Ops'!B39/'Balance Sheet'!S56</f>
        <v>0.99032997707107973</v>
      </c>
      <c r="F57" s="217">
        <f t="shared" si="2"/>
        <v>5.6558003522413844E-2</v>
      </c>
      <c r="G57" s="216">
        <f>+'Balance Sheet'!S56/'Balance Sheet'!T56</f>
        <v>1.9671841804216379</v>
      </c>
      <c r="H57" s="218">
        <f t="shared" si="3"/>
        <v>0.11126000980552379</v>
      </c>
      <c r="I57" s="334">
        <f>(('Income - Continuing Ops'!Z39-'Income - Continuing Ops'!Z38)+'Income - Continuing Ops'!Y39)/'Income - Continuing Ops'!Z38</f>
        <v>0.16764705882352957</v>
      </c>
      <c r="J57" s="334">
        <f>(('Income - Continuing Ops'!Z39+SUM('Income - Continuing Ops'!Y37:Y39))/'Income - Continuing Ops'!Z36)^(1/3)-1</f>
        <v>0.14002754015410757</v>
      </c>
      <c r="K57" s="217">
        <f>+('Income - Continuing Ops'!N39+'Income - Continuing Ops'!G39*(1-Ratios!T57))/'Balance Sheet'!V56</f>
        <v>7.9470418654062638E-2</v>
      </c>
      <c r="L57" s="217">
        <f>+'Income - Continuing Ops'!F39/AVERAGE('Balance Sheet'!Q55,'Balance Sheet'!Q56)</f>
        <v>0.12458063073138001</v>
      </c>
      <c r="M57" s="216">
        <f>+'Income - Continuing Ops'!Z39/'Income - Continuing Ops'!W39</f>
        <v>20.500047003525275</v>
      </c>
      <c r="N57" s="217">
        <f>+'Income - Continuing Ops'!Y39/'Income - Continuing Ops'!Z39</f>
        <v>4.6572934973637958E-2</v>
      </c>
      <c r="O57" s="400">
        <f>+'Income - Continuing Ops'!Y39/'Income - Continuing Ops'!W39</f>
        <v>0.95474735605170424</v>
      </c>
      <c r="P57" s="220">
        <f>('Balance Sheet'!K56+'Balance Sheet'!L56+'Balance Sheet'!M56)/'Balance Sheet'!G56</f>
        <v>0.49203598800399873</v>
      </c>
      <c r="Q57" s="221">
        <f>(+'Balance Sheet'!L56+'Balance Sheet'!I56)/('Balance Sheet'!P56+'Balance Sheet'!I56)</f>
        <v>0.3082009515361665</v>
      </c>
      <c r="R57" s="221">
        <f>('Balance Sheet'!L56+'Balance Sheet'!I56-'Balance Sheet'!B56)/('Balance Sheet'!P56+'Balance Sheet'!I56-'Balance Sheet'!B56)</f>
        <v>0.23254461689851058</v>
      </c>
      <c r="S57" s="214">
        <f>+'Income - Continuing Ops'!F39/'Income - Continuing Ops'!G39</f>
        <v>7.3872679045092822</v>
      </c>
      <c r="T57" s="266">
        <f>+'Income - Continuing Ops'!I39/('Income - Continuing Ops'!I39+'Income - Continuing Ops'!J39)</f>
        <v>0.28292682926829271</v>
      </c>
    </row>
    <row r="58" spans="1:20" s="4" customFormat="1" ht="15" x14ac:dyDescent="0.2">
      <c r="A58" s="187">
        <v>2011</v>
      </c>
      <c r="B58" s="201">
        <f>+'Balance Sheet'!E57/'Balance Sheet'!K57</f>
        <v>2.0887372013651877</v>
      </c>
      <c r="C58" s="401">
        <f>('Income - Continuing Ops'!B40-'Income - Continuing Ops'!C40)/(('Balance Sheet'!D57+'Balance Sheet'!D56)/2)</f>
        <v>6.0974552094031722</v>
      </c>
      <c r="D58" s="202">
        <f>+'Income - Continuing Ops'!N40/'Income - Continuing Ops'!B40</f>
        <v>5.4250423831436211E-2</v>
      </c>
      <c r="E58" s="201">
        <f>+'Income - Continuing Ops'!B40/'Balance Sheet'!S57</f>
        <v>1.1166815976741433</v>
      </c>
      <c r="F58" s="202">
        <f t="shared" si="2"/>
        <v>6.0580449958587607E-2</v>
      </c>
      <c r="G58" s="201">
        <f>+'Balance Sheet'!S57/'Balance Sheet'!T57</f>
        <v>2.0889445994138627</v>
      </c>
      <c r="H58" s="384">
        <f t="shared" si="3"/>
        <v>0.12654920377105333</v>
      </c>
      <c r="I58" s="383">
        <f>(('Income - Continuing Ops'!Z40-'Income - Continuing Ops'!Z39)+'Income - Continuing Ops'!Y40)/'Income - Continuing Ops'!Z39</f>
        <v>6.0632688927943656E-2</v>
      </c>
      <c r="J58" s="383">
        <f>(('Income - Continuing Ops'!Z40+SUM('Income - Continuing Ops'!Y38:Y40))/'Income - Continuing Ops'!Z37)^(1/3)-1</f>
        <v>0.199568274218348</v>
      </c>
      <c r="K58" s="202">
        <f>+('Income - Continuing Ops'!N40+'Income - Continuing Ops'!G40*(1-Ratios!T58))/'Balance Sheet'!V57</f>
        <v>8.6157100303452708E-2</v>
      </c>
      <c r="L58" s="202">
        <f>+'Income - Continuing Ops'!F40/AVERAGE('Balance Sheet'!Q56,'Balance Sheet'!Q57)</f>
        <v>0.12953128607711847</v>
      </c>
      <c r="M58" s="201">
        <f>+'Income - Continuing Ops'!Z40/'Income - Continuing Ops'!W40</f>
        <v>18.899999999999991</v>
      </c>
      <c r="N58" s="202">
        <f>+'Income - Continuing Ops'!Y40/'Income - Continuing Ops'!Z40</f>
        <v>4.7743055555555559E-2</v>
      </c>
      <c r="O58" s="402">
        <f>+'Income - Continuing Ops'!Y40/'Income - Continuing Ops'!W40</f>
        <v>0.90234374999999967</v>
      </c>
      <c r="P58" s="212">
        <f>('Balance Sheet'!K57+'Balance Sheet'!L57+'Balance Sheet'!M57)/'Balance Sheet'!G57</f>
        <v>0.55140475455387461</v>
      </c>
      <c r="Q58" s="208">
        <f>(+'Balance Sheet'!L57+'Balance Sheet'!I57)/('Balance Sheet'!P57+'Balance Sheet'!I57)</f>
        <v>0.35846628924343799</v>
      </c>
      <c r="R58" s="208">
        <f>('Balance Sheet'!L57+'Balance Sheet'!I57-'Balance Sheet'!B57)/('Balance Sheet'!P57+'Balance Sheet'!I57-'Balance Sheet'!B57)</f>
        <v>0.28611654655657903</v>
      </c>
      <c r="S58" s="401">
        <f>+'Income - Continuing Ops'!F40/'Income - Continuing Ops'!G40</f>
        <v>7.36220472440945</v>
      </c>
      <c r="T58" s="405">
        <f>+'Income - Continuing Ops'!I40/('Income - Continuing Ops'!I40+'Income - Continuing Ops'!J40)</f>
        <v>0.26816539542352458</v>
      </c>
    </row>
    <row r="59" spans="1:20" s="4" customFormat="1" ht="15" x14ac:dyDescent="0.2">
      <c r="A59" s="187">
        <v>2012</v>
      </c>
      <c r="B59" s="201">
        <f>+'Balance Sheet'!E58/'Balance Sheet'!K58</f>
        <v>1.8318741450068399</v>
      </c>
      <c r="C59" s="209">
        <f>('Income - Continuing Ops'!B41-'Income - Continuing Ops'!C41)/(('Balance Sheet'!D58+'Balance Sheet'!D57)/2)</f>
        <v>5.8470967741935489</v>
      </c>
      <c r="D59" s="202">
        <f>+'Income - Continuing Ops'!N41/'Income - Continuing Ops'!B41</f>
        <v>5.9305901303265483E-2</v>
      </c>
      <c r="E59" s="201">
        <f>+'Income - Continuing Ops'!B41/'Balance Sheet'!S58</f>
        <v>1.1068071312803889</v>
      </c>
      <c r="F59" s="202">
        <f t="shared" ref="F59" si="4">+D59*E59</f>
        <v>6.5640194489465148E-2</v>
      </c>
      <c r="G59" s="201">
        <f>+'Balance Sheet'!S58/'Balance Sheet'!T58</f>
        <v>2.243717953380123</v>
      </c>
      <c r="H59" s="211">
        <f t="shared" ref="H59" si="5">+F59*G59</f>
        <v>0.14727808283937596</v>
      </c>
      <c r="I59" s="383">
        <f>(('Income - Continuing Ops'!Z41-'Income - Continuing Ops'!Z40)+'Income - Continuing Ops'!Y41)/'Income - Continuing Ops'!Z40</f>
        <v>0.23090277777777776</v>
      </c>
      <c r="J59" s="383">
        <f>(('Income - Continuing Ops'!Z41+SUM('Income - Continuing Ops'!Y39:Y41))/'Income - Continuing Ops'!Z38)^(1/3)-1</f>
        <v>0.14371579961972403</v>
      </c>
      <c r="K59" s="202">
        <f>+('Income - Continuing Ops'!N41+'Income - Continuing Ops'!G41*(1-Ratios!T59))/'Balance Sheet'!V58</f>
        <v>9.61944758508856E-2</v>
      </c>
      <c r="L59" s="202">
        <f>+'Income - Continuing Ops'!F41/AVERAGE('Balance Sheet'!Q57,'Balance Sheet'!Q58)</f>
        <v>0.14541868388022236</v>
      </c>
      <c r="M59" s="201">
        <f>+'Income - Continuing Ops'!Z41/'Income - Continuing Ops'!W41</f>
        <v>19.62528395061728</v>
      </c>
      <c r="N59" s="202">
        <f>+'Income - Continuing Ops'!Y41/'Income - Continuing Ops'!Z41</f>
        <v>4.1880969875091843E-2</v>
      </c>
      <c r="O59" s="403">
        <f>+'Income - Continuing Ops'!Y41/'Income - Continuing Ops'!W41</f>
        <v>0.82192592592592584</v>
      </c>
      <c r="P59" s="212">
        <f>('Balance Sheet'!K58+'Balance Sheet'!L58+'Balance Sheet'!M58)/'Balance Sheet'!G58</f>
        <v>0.55691419091216332</v>
      </c>
      <c r="Q59" s="208">
        <f>(+'Balance Sheet'!L58+'Balance Sheet'!I58)/('Balance Sheet'!P58+'Balance Sheet'!I58)</f>
        <v>0.3872459088574155</v>
      </c>
      <c r="R59" s="208">
        <f>('Balance Sheet'!L58+'Balance Sheet'!I58-'Balance Sheet'!B58)/('Balance Sheet'!P58+'Balance Sheet'!I58-'Balance Sheet'!B58)</f>
        <v>0.2942568566961079</v>
      </c>
      <c r="S59" s="209">
        <f>+'Income - Continuing Ops'!F41/'Income - Continuing Ops'!G41</f>
        <v>7.4746543778801842</v>
      </c>
      <c r="T59" s="265">
        <f>+'Income - Continuing Ops'!I41/('Income - Continuing Ops'!I41+'Income - Continuing Ops'!J41)</f>
        <v>0.28765217391304349</v>
      </c>
    </row>
    <row r="60" spans="1:20" s="4" customFormat="1" ht="15" x14ac:dyDescent="0.2">
      <c r="A60" s="187">
        <v>2013</v>
      </c>
      <c r="B60" s="201">
        <f>+'Balance Sheet'!E59/'Balance Sheet'!K59</f>
        <v>1.5451476793248946</v>
      </c>
      <c r="C60" s="209">
        <f>('Income - Continuing Ops'!B42-'Income - Continuing Ops'!C42)/(('Balance Sheet'!D59+'Balance Sheet'!D58)/2)</f>
        <v>5.619453751649913</v>
      </c>
      <c r="D60" s="202">
        <f>+'Income - Continuing Ops'!N42/'Income - Continuing Ops'!B42</f>
        <v>6.3413090992752788E-2</v>
      </c>
      <c r="E60" s="201">
        <f>+'Income - Continuing Ops'!B42/'Balance Sheet'!S59</f>
        <v>1.0929435800722929</v>
      </c>
      <c r="F60" s="202">
        <f t="shared" ref="F60" si="6">+D60*E60</f>
        <v>6.9306930693069299E-2</v>
      </c>
      <c r="G60" s="201">
        <f>+'Balance Sheet'!S59/'Balance Sheet'!T59</f>
        <v>2.2393890335749984</v>
      </c>
      <c r="H60" s="211">
        <f t="shared" ref="H60" si="7">+F60*G60</f>
        <v>0.15520518054480184</v>
      </c>
      <c r="I60" s="383">
        <f>(('Income - Continuing Ops'!Z42-'Income - Continuing Ops'!Z41)+'Income - Continuing Ops'!Y42)/'Income - Continuing Ops'!Z41</f>
        <v>0.18001469507714923</v>
      </c>
      <c r="J60" s="383">
        <f>(('Income - Continuing Ops'!Z42+SUM('Income - Continuing Ops'!Y40:Y42))/'Income - Continuing Ops'!Z39)^(1/3)-1</f>
        <v>0.14716784644919145</v>
      </c>
      <c r="K60" s="202">
        <f>+('Income - Continuing Ops'!N42+'Income - Continuing Ops'!G42*(1-Ratios!T60))/'Balance Sheet'!V59</f>
        <v>0.10585947425857734</v>
      </c>
      <c r="L60" s="202">
        <f>+'Income - Continuing Ops'!F42/AVERAGE('Balance Sheet'!Q58,'Balance Sheet'!Q59)</f>
        <v>0.14613576966156414</v>
      </c>
      <c r="M60" s="201">
        <f>+'Income - Continuing Ops'!Z42/'Income - Continuing Ops'!W42</f>
        <v>20.65473015873016</v>
      </c>
      <c r="N60" s="202">
        <f>+'Income - Continuing Ops'!Y42/'Income - Continuing Ops'!Z42</f>
        <v>3.8138332255979311E-2</v>
      </c>
      <c r="O60" s="403">
        <f>+'Income - Continuing Ops'!Y42/'Income - Continuing Ops'!W42</f>
        <v>0.78773696145124716</v>
      </c>
      <c r="P60" s="212">
        <f>('Balance Sheet'!K59+'Balance Sheet'!L59+'Balance Sheet'!M59)/'Balance Sheet'!G59</f>
        <v>0.5498214343167851</v>
      </c>
      <c r="Q60" s="208">
        <f>(+'Balance Sheet'!L59+'Balance Sheet'!I59)/('Balance Sheet'!P59+'Balance Sheet'!I59)</f>
        <v>0.35349839411310319</v>
      </c>
      <c r="R60" s="208">
        <f>('Balance Sheet'!L59+'Balance Sheet'!I59-'Balance Sheet'!B59)/('Balance Sheet'!P59+'Balance Sheet'!I59-'Balance Sheet'!B59)</f>
        <v>0.27288523090992217</v>
      </c>
      <c r="S60" s="209">
        <f>+'Income - Continuing Ops'!F42/'Income - Continuing Ops'!G42</f>
        <v>7.4429530201342278</v>
      </c>
      <c r="T60" s="265">
        <f>+'Income - Continuing Ops'!I42/('Income - Continuing Ops'!I42+'Income - Continuing Ops'!J42)</f>
        <v>0.24619546838011497</v>
      </c>
    </row>
    <row r="61" spans="1:20" s="4" customFormat="1" ht="15" x14ac:dyDescent="0.2">
      <c r="A61" s="187">
        <v>2014</v>
      </c>
      <c r="B61" s="201">
        <f>+'Balance Sheet'!E60/'Balance Sheet'!K60</f>
        <v>1.4408385406168109</v>
      </c>
      <c r="C61" s="209">
        <f>('Income - Continuing Ops'!B43-'Income - Continuing Ops'!C43)/(('Balance Sheet'!D60+'Balance Sheet'!D59)/2)</f>
        <v>6.1215345268542203</v>
      </c>
      <c r="D61" s="202">
        <f>+'Income - Continuing Ops'!N43/'Income - Continuing Ops'!B43</f>
        <v>6.7445734077148808E-2</v>
      </c>
      <c r="E61" s="201">
        <f>+'Income - Continuing Ops'!B43/'Balance Sheet'!S60</f>
        <v>1.2105878022628707</v>
      </c>
      <c r="F61" s="202">
        <f t="shared" ref="F61" si="8">+D61*E61</f>
        <v>8.1648982988461585E-2</v>
      </c>
      <c r="G61" s="201">
        <f>+'Balance Sheet'!S60/'Balance Sheet'!T60</f>
        <v>2.4465369406053017</v>
      </c>
      <c r="H61" s="211">
        <f t="shared" ref="H61" si="9">+F61*G61</f>
        <v>0.19975725304412512</v>
      </c>
      <c r="I61" s="383">
        <f>(('Income - Continuing Ops'!Z43-'Income - Continuing Ops'!Z42)+'Income - Continuing Ops'!Y43)/'Income - Continuing Ops'!Z42</f>
        <v>0.41661279896574011</v>
      </c>
      <c r="J61" s="383">
        <f>(('Income - Continuing Ops'!Z43+SUM('Income - Continuing Ops'!Y41:Y43))/'Income - Continuing Ops'!Z40)^(1/3)-1</f>
        <v>0.26055870797129077</v>
      </c>
      <c r="K61" s="202">
        <f>+('Income - Continuing Ops'!N43+'Income - Continuing Ops'!G43*(1-Ratios!T61))/'Balance Sheet'!V60</f>
        <v>0.12922776497926328</v>
      </c>
      <c r="L61" s="202">
        <f>+'Income - Continuing Ops'!F43/AVERAGE('Balance Sheet'!Q59,'Balance Sheet'!Q60)</f>
        <v>0.18309825654686865</v>
      </c>
      <c r="M61" s="201">
        <f>+'Income - Continuing Ops'!Z43/'Income - Continuing Ops'!W43</f>
        <v>23.91905919247354</v>
      </c>
      <c r="N61" s="202">
        <f>+'Income - Continuing Ops'!Y43/'Income - Continuing Ops'!Z43</f>
        <v>2.8631776578268011E-2</v>
      </c>
      <c r="O61" s="403">
        <f>+'Income - Continuing Ops'!Y43/'Income - Continuing Ops'!W43</f>
        <v>0.68484515876127017</v>
      </c>
      <c r="P61" s="212">
        <f>('Balance Sheet'!K60+'Balance Sheet'!L60+'Balance Sheet'!M60)/'Balance Sheet'!G60</f>
        <v>0.63226771954403616</v>
      </c>
      <c r="Q61" s="208">
        <f>(+'Balance Sheet'!L60+'Balance Sheet'!I60)/('Balance Sheet'!P60+'Balance Sheet'!I60)</f>
        <v>0.4120675715926983</v>
      </c>
      <c r="R61" s="208">
        <f>('Balance Sheet'!L60+'Balance Sheet'!I60-'Balance Sheet'!B60)/('Balance Sheet'!P60+'Balance Sheet'!I60-'Balance Sheet'!B60)</f>
        <v>0.31507460466960802</v>
      </c>
      <c r="S61" s="209">
        <f>+'Income - Continuing Ops'!F43/'Income - Continuing Ops'!G43</f>
        <v>9.2081339712918648</v>
      </c>
      <c r="T61" s="265">
        <f>+'Income - Continuing Ops'!I43/('Income - Continuing Ops'!I43+'Income - Continuing Ops'!J43)</f>
        <v>0.25967325881341358</v>
      </c>
    </row>
    <row r="62" spans="1:20" s="4" customFormat="1" ht="15" x14ac:dyDescent="0.2">
      <c r="A62" s="359">
        <v>2015</v>
      </c>
      <c r="B62" s="216">
        <f>+'Balance Sheet'!E61/'Balance Sheet'!K61</f>
        <v>1.869937250427838</v>
      </c>
      <c r="C62" s="214">
        <f>('Income - Continuing Ops'!B44-'Income - Continuing Ops'!C44)/(('Balance Sheet'!D61+'Balance Sheet'!D60)/2)</f>
        <v>6.0551612249036699</v>
      </c>
      <c r="D62" s="217">
        <f>+'Income - Continuing Ops'!N44/'Income - Continuing Ops'!B44</f>
        <v>8.626059430205249E-2</v>
      </c>
      <c r="E62" s="216">
        <f>+'Income - Continuing Ops'!B44/'Balance Sheet'!S61</f>
        <v>1.2826037130414851</v>
      </c>
      <c r="F62" s="217">
        <f t="shared" ref="F62:F63" si="10">+D62*E62</f>
        <v>0.11063815854097769</v>
      </c>
      <c r="G62" s="216">
        <f>+'Balance Sheet'!S61/'Balance Sheet'!T61</f>
        <v>2.7116221255438164</v>
      </c>
      <c r="H62" s="218">
        <f t="shared" ref="H62:H63" si="11">+F62*G62</f>
        <v>0.30000887862913966</v>
      </c>
      <c r="I62" s="334">
        <f>(('Income - Continuing Ops'!Z44-'Income - Continuing Ops'!Z43)+'Income - Continuing Ops'!Y44)/'Income - Continuing Ops'!Z43</f>
        <v>1.5724008448721044E-2</v>
      </c>
      <c r="J62" s="334">
        <f>(('Income - Continuing Ops'!Z44+SUM('Income - Continuing Ops'!Y42:Y44))/'Income - Continuing Ops'!Z41)^(1/3)-1</f>
        <v>0.18835443536173702</v>
      </c>
      <c r="K62" s="217">
        <f>+('Income - Continuing Ops'!N44+'Income - Continuing Ops'!G44*(1-Ratios!T62))/'Balance Sheet'!V61</f>
        <v>0.16654136484302509</v>
      </c>
      <c r="L62" s="217">
        <f>+'Income - Continuing Ops'!F44/AVERAGE('Balance Sheet'!Q60,'Balance Sheet'!Q61)</f>
        <v>0.25265871737028689</v>
      </c>
      <c r="M62" s="216">
        <f>+'Income - Continuing Ops'!Z44/'Income - Continuing Ops'!W44</f>
        <v>17.770517904705535</v>
      </c>
      <c r="N62" s="217">
        <f>+'Income - Continuing Ops'!Y44/'Income - Continuing Ops'!Z44</f>
        <v>2.9985721085197523E-2</v>
      </c>
      <c r="O62" s="404">
        <f>+'Income - Continuing Ops'!Y44/'Income - Continuing Ops'!W44</f>
        <v>0.53286179343000895</v>
      </c>
      <c r="P62" s="219">
        <f>('Balance Sheet'!K61+'Balance Sheet'!L61+'Balance Sheet'!M61)/'Balance Sheet'!G61</f>
        <v>0.6301051354630004</v>
      </c>
      <c r="Q62" s="221">
        <f>(+'Balance Sheet'!L61+'Balance Sheet'!I61)/('Balance Sheet'!P61+'Balance Sheet'!I61)</f>
        <v>0.4180103973918407</v>
      </c>
      <c r="R62" s="221">
        <f>('Balance Sheet'!L61+'Balance Sheet'!I61-'Balance Sheet'!B61)/('Balance Sheet'!P61+'Balance Sheet'!I61-'Balance Sheet'!B61)</f>
        <v>0.34493702271149462</v>
      </c>
      <c r="S62" s="214">
        <f>+'Income - Continuing Ops'!F44/'Income - Continuing Ops'!G44</f>
        <v>12.399026763990269</v>
      </c>
      <c r="T62" s="266">
        <f>+'Income - Continuing Ops'!I44/('Income - Continuing Ops'!I44+'Income - Continuing Ops'!J44)</f>
        <v>0.27680270670331997</v>
      </c>
    </row>
    <row r="63" spans="1:20" s="4" customFormat="1" ht="15" x14ac:dyDescent="0.2">
      <c r="A63" s="170">
        <v>2016</v>
      </c>
      <c r="B63" s="198">
        <f>+'Balance Sheet'!E62/'Balance Sheet'!K62</f>
        <v>1.8750353806962918</v>
      </c>
      <c r="C63" s="209">
        <f>('Income - Continuing Ops'!B45-'Income - Continuing Ops'!C45)/(('Balance Sheet'!D62+'Balance Sheet'!D61)/2)</f>
        <v>5.5666861941027141</v>
      </c>
      <c r="D63" s="210">
        <f>+'Income - Continuing Ops'!N45/'Income - Continuing Ops'!B45</f>
        <v>9.2935811621643244E-2</v>
      </c>
      <c r="E63" s="201">
        <f>+'Income - Continuing Ops'!B45/'Balance Sheet'!S62</f>
        <v>1.2601105566476805</v>
      </c>
      <c r="F63" s="202">
        <f t="shared" si="10"/>
        <v>0.11710939731505284</v>
      </c>
      <c r="G63" s="201">
        <f>+'Balance Sheet'!S62/'Balance Sheet'!T62</f>
        <v>2.715563261395264</v>
      </c>
      <c r="H63" s="211">
        <f t="shared" si="11"/>
        <v>0.31801797691289868</v>
      </c>
      <c r="I63" s="331">
        <f>(('Income - Continuing Ops'!Z45-'Income - Continuing Ops'!Z44)+'Income - Continuing Ops'!Y45)/'Income - Continuing Ops'!Z44</f>
        <v>0.19514516896715847</v>
      </c>
      <c r="J63" s="331">
        <f>(('Income - Continuing Ops'!Z45+SUM('Income - Continuing Ops'!Y43:Y45))/'Income - Continuing Ops'!Z42)^(1/3)-1</f>
        <v>0.19425417611587359</v>
      </c>
      <c r="K63" s="202">
        <f>+('Income - Continuing Ops'!N45+'Income - Continuing Ops'!G45*(1-Ratios!T63))/'Balance Sheet'!V62</f>
        <v>0.16643066283154617</v>
      </c>
      <c r="L63" s="202">
        <f>+'Income - Continuing Ops'!F45/AVERAGE('Balance Sheet'!Q61,'Balance Sheet'!Q62)</f>
        <v>0.24498231983664531</v>
      </c>
      <c r="M63" s="201">
        <f>+'Income - Continuing Ops'!Z45/'Income - Continuing Ops'!W45</f>
        <v>19.636154949784792</v>
      </c>
      <c r="N63" s="202">
        <f>+'Income - Continuing Ops'!Y45/'Income - Continuing Ops'!Z45</f>
        <v>2.7414075286415714E-2</v>
      </c>
      <c r="O63" s="299">
        <f>+'Income - Continuing Ops'!Y45/'Income - Continuing Ops'!W45</f>
        <v>0.53830703012912484</v>
      </c>
      <c r="P63" s="207">
        <f>('Balance Sheet'!K62+'Balance Sheet'!L62+'Balance Sheet'!M62)/'Balance Sheet'!G62</f>
        <v>0.63339030193358137</v>
      </c>
      <c r="Q63" s="420">
        <f>(+'Balance Sheet'!L62+'Balance Sheet'!I62)/('Balance Sheet'!P62+'Balance Sheet'!I62)</f>
        <v>0.4207619131120951</v>
      </c>
      <c r="R63" s="420">
        <f>('Balance Sheet'!L62+'Balance Sheet'!I62-'Balance Sheet'!B62)/('Balance Sheet'!P62+'Balance Sheet'!I62-'Balance Sheet'!B62)</f>
        <v>0.33908563425370158</v>
      </c>
      <c r="S63" s="209">
        <f>+'Income - Continuing Ops'!F45/'Income - Continuing Ops'!G45</f>
        <v>12.677835051546394</v>
      </c>
      <c r="T63" s="265">
        <f>+'Income - Continuing Ops'!I45/('Income - Continuing Ops'!I45+'Income - Continuing Ops'!J45)</f>
        <v>0.23654266958424505</v>
      </c>
    </row>
    <row r="64" spans="1:20" s="4" customFormat="1" ht="15" x14ac:dyDescent="0.2">
      <c r="A64" s="359">
        <v>2017</v>
      </c>
      <c r="B64" s="216">
        <f>+'Balance Sheet'!E63/'Balance Sheet'!K63</f>
        <v>1.8095677115345217</v>
      </c>
      <c r="C64" s="214">
        <f>('Income - Continuing Ops'!B46-'Income - Continuing Ops'!C46)/(('Balance Sheet'!D63+'Balance Sheet'!D62)/2)</f>
        <v>5.6163931420188868</v>
      </c>
      <c r="D64" s="215">
        <f>+'Income - Continuing Ops'!N46/'Income - Continuing Ops'!B46</f>
        <v>8.5146305593589919E-2</v>
      </c>
      <c r="E64" s="216">
        <f>+'Income - Continuing Ops'!B46/'Balance Sheet'!S63</f>
        <v>1.2069962815039252</v>
      </c>
      <c r="F64" s="217">
        <f t="shared" ref="F64" si="12">+D64*E64</f>
        <v>0.1027712742352599</v>
      </c>
      <c r="G64" s="216">
        <f>+'Balance Sheet'!S63/'Balance Sheet'!T63</f>
        <v>2.860162815126051</v>
      </c>
      <c r="H64" s="218">
        <f t="shared" ref="H64" si="13">+F64*G64</f>
        <v>0.29394257703081234</v>
      </c>
      <c r="I64" s="334">
        <f>(('Income - Continuing Ops'!Z46-'Income - Continuing Ops'!Z45)+'Income - Continuing Ops'!Y46)/'Income - Continuing Ops'!Z45</f>
        <v>5.5237315875612571E-3</v>
      </c>
      <c r="J64" s="334">
        <f>(('Income - Continuing Ops'!Z46+SUM('Income - Continuing Ops'!Y44:Y46))/'Income - Continuing Ops'!Z43)^(1/3)-1</f>
        <v>6.6922662259252919E-2</v>
      </c>
      <c r="K64" s="217">
        <f>+('Income - Continuing Ops'!N46+'Income - Continuing Ops'!G46*(1-Ratios!T64))/'Balance Sheet'!V63</f>
        <v>0.15236245339552484</v>
      </c>
      <c r="L64" s="217">
        <f>+'Income - Continuing Ops'!F46/AVERAGE('Balance Sheet'!Q62,'Balance Sheet'!Q63)</f>
        <v>0.22263477329525169</v>
      </c>
      <c r="M64" s="216">
        <f>+'Income - Continuing Ops'!Z46/'Income - Continuing Ops'!W46</f>
        <v>19.402439024390244</v>
      </c>
      <c r="N64" s="217">
        <f>+'Income - Continuing Ops'!Y46/'Income - Continuing Ops'!Z46</f>
        <v>2.9750680913471612E-2</v>
      </c>
      <c r="O64" s="400">
        <f>+'Income - Continuing Ops'!Y46/'Income - Continuing Ops'!W46</f>
        <v>0.57723577235772361</v>
      </c>
      <c r="P64" s="220">
        <f>('Balance Sheet'!K63+'Balance Sheet'!L63+'Balance Sheet'!M63)/'Balance Sheet'!G63</f>
        <v>0.66463895460178002</v>
      </c>
      <c r="Q64" s="221">
        <f>(+'Balance Sheet'!L63+'Balance Sheet'!I63)/('Balance Sheet'!P63+'Balance Sheet'!I63)</f>
        <v>0.45876704295557846</v>
      </c>
      <c r="R64" s="221">
        <f>('Balance Sheet'!L63+'Balance Sheet'!I63-'Balance Sheet'!B63)/('Balance Sheet'!P63+'Balance Sheet'!I63-'Balance Sheet'!B63)</f>
        <v>0.32947373200744678</v>
      </c>
      <c r="S64" s="214">
        <f>+'Income - Continuing Ops'!F46/'Income - Continuing Ops'!G46</f>
        <v>10.751724137931035</v>
      </c>
      <c r="T64" s="266">
        <f>+'Income - Continuing Ops'!I46/('Income - Continuing Ops'!I46+'Income - Continuing Ops'!J46)</f>
        <v>0.22209356183418252</v>
      </c>
    </row>
    <row r="65" spans="1:27" ht="6" customHeight="1" x14ac:dyDescent="0.2">
      <c r="A65" s="5"/>
      <c r="B65" s="5"/>
      <c r="C65" s="5"/>
      <c r="D65" s="5"/>
      <c r="E65" s="5"/>
      <c r="F65" s="5"/>
      <c r="G65" s="5"/>
      <c r="H65" s="228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7" ht="15" customHeight="1" x14ac:dyDescent="0.2">
      <c r="A66" s="5"/>
      <c r="B66" s="5"/>
      <c r="C66" s="5"/>
      <c r="D66" s="5"/>
      <c r="E66" s="5"/>
      <c r="F66" s="5"/>
      <c r="G66" s="5"/>
      <c r="H66" s="228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7" ht="15" customHeight="1" x14ac:dyDescent="0.25">
      <c r="A67" s="423" t="s">
        <v>231</v>
      </c>
      <c r="B67" s="424"/>
      <c r="C67" s="424"/>
      <c r="D67" s="424"/>
      <c r="E67" s="424"/>
      <c r="F67" s="424"/>
      <c r="G67" s="424"/>
      <c r="H67" s="424"/>
      <c r="I67" s="424"/>
      <c r="J67" s="424"/>
      <c r="K67" s="424"/>
      <c r="L67" s="424"/>
      <c r="M67" s="424"/>
      <c r="N67" s="424"/>
      <c r="O67" s="424"/>
      <c r="P67" s="424"/>
      <c r="Q67" s="424"/>
      <c r="R67" s="424"/>
      <c r="S67" s="424"/>
      <c r="T67" s="424"/>
      <c r="U67" s="429"/>
      <c r="V67" s="429"/>
      <c r="W67" s="429"/>
      <c r="X67" s="429"/>
      <c r="Y67" s="429"/>
      <c r="Z67" s="429"/>
      <c r="AA67" s="430"/>
    </row>
    <row r="68" spans="1:27" ht="15" customHeight="1" x14ac:dyDescent="0.25">
      <c r="A68" s="423" t="s">
        <v>237</v>
      </c>
      <c r="B68" s="424"/>
      <c r="C68" s="424"/>
      <c r="D68" s="424"/>
      <c r="E68" s="424"/>
      <c r="F68" s="424"/>
      <c r="G68" s="424"/>
      <c r="H68" s="424"/>
      <c r="I68" s="424"/>
      <c r="J68" s="424"/>
      <c r="K68" s="424"/>
      <c r="L68" s="424"/>
      <c r="M68" s="424"/>
      <c r="N68" s="424"/>
      <c r="O68" s="424"/>
      <c r="P68" s="424"/>
      <c r="Q68" s="424"/>
      <c r="R68" s="424"/>
      <c r="S68" s="424"/>
      <c r="T68" s="424"/>
      <c r="U68" s="429"/>
      <c r="V68" s="429"/>
      <c r="W68" s="429"/>
      <c r="X68" s="429"/>
      <c r="Y68" s="429"/>
      <c r="Z68" s="429"/>
      <c r="AA68" s="430"/>
    </row>
    <row r="69" spans="1:27" ht="15" customHeight="1" x14ac:dyDescent="0.25">
      <c r="A69" s="423" t="s">
        <v>233</v>
      </c>
      <c r="B69" s="424"/>
      <c r="C69" s="424"/>
      <c r="D69" s="424"/>
      <c r="E69" s="424"/>
      <c r="F69" s="424"/>
      <c r="G69" s="424"/>
      <c r="H69" s="424"/>
      <c r="I69" s="424"/>
      <c r="J69" s="424"/>
      <c r="K69" s="424"/>
      <c r="L69" s="424"/>
      <c r="M69" s="424"/>
      <c r="N69" s="424"/>
      <c r="O69" s="424"/>
      <c r="P69" s="424"/>
      <c r="Q69" s="424"/>
      <c r="R69" s="424"/>
      <c r="S69" s="424"/>
      <c r="T69" s="424"/>
      <c r="U69" s="429"/>
      <c r="V69" s="429"/>
      <c r="W69" s="429"/>
      <c r="X69" s="429"/>
      <c r="Y69" s="429"/>
      <c r="Z69" s="429"/>
      <c r="AA69" s="430"/>
    </row>
    <row r="70" spans="1:27" ht="15" customHeight="1" x14ac:dyDescent="0.25">
      <c r="A70" s="423" t="s">
        <v>239</v>
      </c>
      <c r="B70" s="424"/>
      <c r="C70" s="424"/>
      <c r="D70" s="424"/>
      <c r="E70" s="424"/>
      <c r="F70" s="424"/>
      <c r="G70" s="424"/>
      <c r="H70" s="424"/>
      <c r="I70" s="424"/>
      <c r="J70" s="424"/>
      <c r="K70" s="424"/>
      <c r="L70" s="424"/>
      <c r="M70" s="424"/>
      <c r="N70" s="424"/>
      <c r="O70" s="424"/>
      <c r="P70" s="424"/>
      <c r="Q70" s="424"/>
      <c r="R70" s="424"/>
      <c r="S70" s="424"/>
      <c r="T70" s="424"/>
      <c r="U70" s="429"/>
      <c r="V70" s="429"/>
      <c r="W70" s="429"/>
      <c r="X70" s="429"/>
      <c r="Y70" s="429"/>
      <c r="Z70" s="429"/>
      <c r="AA70" s="430"/>
    </row>
    <row r="71" spans="1:27" ht="15" customHeight="1" x14ac:dyDescent="0.25">
      <c r="A71" s="431"/>
      <c r="B71" s="429"/>
      <c r="C71" s="429"/>
      <c r="D71" s="429"/>
      <c r="E71" s="429"/>
      <c r="F71" s="429"/>
      <c r="G71" s="429"/>
      <c r="H71" s="429"/>
      <c r="I71" s="429"/>
      <c r="J71" s="429"/>
      <c r="K71" s="429"/>
      <c r="L71" s="429"/>
      <c r="M71" s="429"/>
      <c r="N71" s="429"/>
      <c r="O71" s="429"/>
      <c r="P71" s="429"/>
      <c r="Q71" s="429"/>
      <c r="R71" s="429"/>
      <c r="S71" s="429"/>
      <c r="T71" s="429"/>
      <c r="U71" s="429"/>
      <c r="V71" s="429"/>
      <c r="W71" s="429"/>
      <c r="X71" s="429"/>
      <c r="Y71" s="429"/>
      <c r="Z71" s="429"/>
      <c r="AA71" s="430"/>
    </row>
    <row r="72" spans="1:27" ht="13.5" customHeight="1" x14ac:dyDescent="0.2">
      <c r="A72" s="300" t="s">
        <v>170</v>
      </c>
      <c r="B72" s="5"/>
      <c r="C72" s="5"/>
      <c r="D72" s="5"/>
      <c r="E72" s="5"/>
      <c r="F72" s="5"/>
      <c r="G72" s="5"/>
      <c r="H72" s="228"/>
      <c r="I72" s="228"/>
      <c r="J72" s="300" t="s">
        <v>172</v>
      </c>
      <c r="K72" s="5"/>
      <c r="L72" s="5"/>
      <c r="M72" s="5"/>
      <c r="N72" s="5"/>
      <c r="O72" s="5"/>
      <c r="P72" s="5"/>
      <c r="Q72" s="5"/>
      <c r="R72" s="5"/>
      <c r="S72" s="5"/>
    </row>
    <row r="73" spans="1:27" s="5" customFormat="1" ht="13.5" customHeight="1" x14ac:dyDescent="0.2">
      <c r="A73" s="300" t="s">
        <v>171</v>
      </c>
      <c r="J73" s="300" t="s">
        <v>173</v>
      </c>
    </row>
    <row r="74" spans="1:27" s="5" customFormat="1" ht="13.5" customHeight="1" x14ac:dyDescent="0.2">
      <c r="A74" s="300" t="s">
        <v>165</v>
      </c>
      <c r="J74" s="300" t="s">
        <v>174</v>
      </c>
    </row>
    <row r="75" spans="1:27" s="5" customFormat="1" ht="13.5" customHeight="1" x14ac:dyDescent="0.2">
      <c r="A75" s="300" t="s">
        <v>166</v>
      </c>
      <c r="J75" s="300" t="s">
        <v>175</v>
      </c>
    </row>
    <row r="76" spans="1:27" s="5" customFormat="1" ht="13.5" customHeight="1" x14ac:dyDescent="0.2">
      <c r="A76" s="300" t="s">
        <v>167</v>
      </c>
      <c r="J76" s="300" t="s">
        <v>176</v>
      </c>
    </row>
    <row r="77" spans="1:27" s="5" customFormat="1" ht="13.5" customHeight="1" x14ac:dyDescent="0.2">
      <c r="A77" s="300" t="s">
        <v>168</v>
      </c>
      <c r="J77" s="543" t="s">
        <v>246</v>
      </c>
      <c r="K77" s="543"/>
      <c r="L77" s="543"/>
      <c r="M77" s="543"/>
      <c r="N77" s="543"/>
      <c r="O77" s="543"/>
      <c r="P77" s="543"/>
      <c r="Q77" s="543"/>
      <c r="R77" s="543"/>
      <c r="S77" s="543"/>
    </row>
    <row r="78" spans="1:27" s="5" customFormat="1" ht="13.5" customHeight="1" x14ac:dyDescent="0.2">
      <c r="A78" s="300" t="s">
        <v>169</v>
      </c>
      <c r="J78" s="543"/>
      <c r="K78" s="543"/>
      <c r="L78" s="543"/>
      <c r="M78" s="543"/>
      <c r="N78" s="543"/>
      <c r="O78" s="543"/>
      <c r="P78" s="543"/>
      <c r="Q78" s="543"/>
      <c r="R78" s="543"/>
      <c r="S78" s="543"/>
    </row>
    <row r="79" spans="1:27" s="5" customFormat="1" ht="13.5" customHeight="1" x14ac:dyDescent="0.2">
      <c r="A79" s="300" t="s">
        <v>196</v>
      </c>
      <c r="I79" s="330"/>
      <c r="J79" s="300" t="s">
        <v>177</v>
      </c>
    </row>
    <row r="80" spans="1:27" s="5" customFormat="1" ht="13.5" customHeight="1" x14ac:dyDescent="0.2">
      <c r="A80" s="543" t="s">
        <v>247</v>
      </c>
      <c r="B80" s="543"/>
      <c r="C80" s="543"/>
      <c r="D80" s="543"/>
      <c r="E80" s="543"/>
      <c r="F80" s="543"/>
      <c r="G80" s="543"/>
      <c r="H80" s="543"/>
      <c r="I80" s="330"/>
      <c r="J80" s="300" t="s">
        <v>178</v>
      </c>
      <c r="K80" s="421"/>
      <c r="L80" s="421"/>
      <c r="M80" s="421"/>
      <c r="N80" s="421"/>
      <c r="O80" s="421"/>
      <c r="P80" s="421"/>
    </row>
    <row r="81" spans="1:12" s="5" customFormat="1" ht="13.5" customHeight="1" x14ac:dyDescent="0.2">
      <c r="A81" s="543"/>
      <c r="B81" s="543"/>
      <c r="C81" s="543"/>
      <c r="D81" s="543"/>
      <c r="E81" s="543"/>
      <c r="F81" s="543"/>
      <c r="G81" s="543"/>
      <c r="H81" s="543"/>
    </row>
    <row r="82" spans="1:12" s="5" customFormat="1" ht="13.5" customHeight="1" x14ac:dyDescent="0.2"/>
    <row r="83" spans="1:12" s="5" customFormat="1" ht="13.5" customHeight="1" x14ac:dyDescent="0.2"/>
    <row r="84" spans="1:12" s="5" customFormat="1" ht="13.5" customHeight="1" x14ac:dyDescent="0.2">
      <c r="K84" s="333"/>
    </row>
    <row r="85" spans="1:12" s="5" customFormat="1" ht="13.5" customHeight="1" x14ac:dyDescent="0.2">
      <c r="L85" s="333"/>
    </row>
    <row r="86" spans="1:12" s="5" customFormat="1" ht="13.5" customHeight="1" x14ac:dyDescent="0.2"/>
    <row r="87" spans="1:12" s="5" customFormat="1" ht="13.5" customHeight="1" x14ac:dyDescent="0.2"/>
    <row r="88" spans="1:12" s="5" customFormat="1" ht="13.5" customHeight="1" x14ac:dyDescent="0.2">
      <c r="A88"/>
      <c r="B88"/>
      <c r="C88"/>
      <c r="D88"/>
      <c r="E88"/>
      <c r="F88"/>
      <c r="G88"/>
      <c r="H88"/>
    </row>
    <row r="89" spans="1:12" s="5" customFormat="1" ht="13.5" customHeight="1" x14ac:dyDescent="0.2">
      <c r="A89"/>
      <c r="B89"/>
      <c r="C89"/>
      <c r="D89"/>
      <c r="E89"/>
      <c r="F89"/>
      <c r="G89"/>
      <c r="H89"/>
    </row>
    <row r="90" spans="1:12" s="5" customFormat="1" ht="13.5" customHeight="1" x14ac:dyDescent="0.2">
      <c r="A90"/>
      <c r="B90"/>
      <c r="C90"/>
      <c r="D90"/>
      <c r="E90"/>
      <c r="F90"/>
      <c r="G90"/>
      <c r="H90"/>
    </row>
    <row r="91" spans="1:12" s="5" customFormat="1" ht="13.5" customHeight="1" x14ac:dyDescent="0.2">
      <c r="A91"/>
      <c r="B91"/>
      <c r="C91"/>
      <c r="D91"/>
      <c r="E91"/>
      <c r="F91"/>
      <c r="G91"/>
      <c r="H91"/>
    </row>
  </sheetData>
  <mergeCells count="27">
    <mergeCell ref="J77:S78"/>
    <mergeCell ref="L5:L8"/>
    <mergeCell ref="O5:O8"/>
    <mergeCell ref="A80:H81"/>
    <mergeCell ref="A4:A8"/>
    <mergeCell ref="P4:S4"/>
    <mergeCell ref="R5:R8"/>
    <mergeCell ref="P5:P8"/>
    <mergeCell ref="B4:C4"/>
    <mergeCell ref="D4:O4"/>
    <mergeCell ref="G6:G8"/>
    <mergeCell ref="T5:T8"/>
    <mergeCell ref="B5:B8"/>
    <mergeCell ref="C5:C8"/>
    <mergeCell ref="D5:H5"/>
    <mergeCell ref="N5:N8"/>
    <mergeCell ref="H6:H8"/>
    <mergeCell ref="K5:K8"/>
    <mergeCell ref="M5:M7"/>
    <mergeCell ref="Q5:Q8"/>
    <mergeCell ref="S5:S8"/>
    <mergeCell ref="I5:J6"/>
    <mergeCell ref="I7:I8"/>
    <mergeCell ref="J7:J8"/>
    <mergeCell ref="D6:D8"/>
    <mergeCell ref="E6:E7"/>
    <mergeCell ref="F6:F8"/>
  </mergeCells>
  <phoneticPr fontId="0" type="noConversion"/>
  <printOptions horizontalCentered="1"/>
  <pageMargins left="0.3" right="0.3" top="0.3" bottom="0.25" header="0.4" footer="0.35"/>
  <pageSetup scale="4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K46"/>
  <sheetViews>
    <sheetView zoomScaleNormal="100" workbookViewId="0">
      <pane ySplit="2" topLeftCell="A3" activePane="bottomLeft" state="frozen"/>
      <selection pane="bottomLeft" activeCell="A24" sqref="A24"/>
    </sheetView>
  </sheetViews>
  <sheetFormatPr defaultRowHeight="12.75" x14ac:dyDescent="0.2"/>
  <cols>
    <col min="1" max="1" width="22" customWidth="1"/>
    <col min="2" max="3" width="7.5703125" customWidth="1"/>
    <col min="4" max="4" width="7.5703125" style="284" bestFit="1" customWidth="1"/>
    <col min="5" max="12" width="7.5703125" style="284" customWidth="1"/>
    <col min="13" max="13" width="7.42578125" style="282" hidden="1" customWidth="1"/>
    <col min="14" max="14" width="7.7109375" style="282" hidden="1" customWidth="1"/>
    <col min="15" max="15" width="9.5703125" bestFit="1" customWidth="1"/>
    <col min="16" max="16" width="3.7109375" style="4" customWidth="1"/>
    <col min="17" max="17" width="22.140625" bestFit="1" customWidth="1"/>
    <col min="18" max="19" width="6.7109375" style="246" bestFit="1" customWidth="1"/>
    <col min="20" max="20" width="7.85546875" bestFit="1" customWidth="1"/>
    <col min="21" max="21" width="6.7109375" bestFit="1" customWidth="1"/>
    <col min="22" max="23" width="6.7109375" style="9" bestFit="1" customWidth="1"/>
    <col min="24" max="24" width="6.85546875" style="9" bestFit="1" customWidth="1"/>
    <col min="25" max="25" width="8.28515625" bestFit="1" customWidth="1"/>
    <col min="26" max="26" width="8.42578125" bestFit="1" customWidth="1"/>
    <col min="27" max="27" width="10.5703125" bestFit="1" customWidth="1"/>
    <col min="28" max="28" width="8.5703125" bestFit="1" customWidth="1"/>
    <col min="29" max="29" width="9.5703125" bestFit="1" customWidth="1"/>
  </cols>
  <sheetData>
    <row r="1" spans="1:37" ht="27.75" x14ac:dyDescent="0.4">
      <c r="A1" s="90" t="s">
        <v>194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238"/>
      <c r="N1" s="238"/>
      <c r="O1" s="38"/>
      <c r="P1" s="272"/>
      <c r="Q1" s="90"/>
      <c r="R1" s="238"/>
      <c r="S1" s="238"/>
      <c r="T1" s="90"/>
      <c r="U1" s="90"/>
      <c r="V1" s="91"/>
      <c r="W1" s="91"/>
      <c r="X1" s="91"/>
      <c r="Y1" s="38"/>
      <c r="Z1" s="38"/>
      <c r="AA1" s="38"/>
      <c r="AB1" s="38"/>
      <c r="AC1" s="38"/>
      <c r="AD1" s="2"/>
      <c r="AE1" s="2"/>
      <c r="AF1" s="2"/>
      <c r="AG1" s="2"/>
      <c r="AH1" s="2"/>
      <c r="AI1" s="2"/>
      <c r="AJ1" s="2"/>
      <c r="AK1" s="2"/>
    </row>
    <row r="2" spans="1:37" x14ac:dyDescent="0.2">
      <c r="A2" s="38"/>
      <c r="B2" s="38"/>
      <c r="C2" s="38"/>
      <c r="D2" s="283"/>
      <c r="E2" s="283"/>
      <c r="F2" s="283"/>
      <c r="G2" s="283"/>
      <c r="H2" s="283"/>
      <c r="I2" s="283"/>
      <c r="J2" s="283"/>
      <c r="K2" s="283"/>
      <c r="L2" s="283"/>
      <c r="M2" s="280"/>
      <c r="N2" s="280"/>
      <c r="O2" s="38"/>
      <c r="P2" s="273"/>
      <c r="Q2" s="38"/>
      <c r="R2" s="245"/>
      <c r="S2" s="245"/>
      <c r="T2" s="38"/>
      <c r="U2" s="38"/>
      <c r="V2" s="91"/>
      <c r="W2" s="91"/>
      <c r="X2" s="91"/>
      <c r="Y2" s="38"/>
      <c r="Z2" s="38"/>
      <c r="AA2" s="38"/>
      <c r="AB2" s="38"/>
      <c r="AC2" s="38"/>
      <c r="AD2" s="2"/>
      <c r="AE2" s="2"/>
      <c r="AF2" s="2"/>
      <c r="AG2" s="2"/>
      <c r="AH2" s="2"/>
      <c r="AI2" s="2"/>
      <c r="AJ2" s="2"/>
      <c r="AK2" s="2"/>
    </row>
    <row r="3" spans="1:37" s="2" customFormat="1" x14ac:dyDescent="0.2">
      <c r="D3" s="354"/>
      <c r="E3" s="354"/>
      <c r="F3" s="354"/>
      <c r="G3" s="354"/>
      <c r="H3" s="354"/>
      <c r="I3" s="354"/>
      <c r="J3" s="354"/>
      <c r="K3" s="354"/>
      <c r="L3" s="354"/>
      <c r="M3" s="355"/>
      <c r="N3" s="355"/>
      <c r="P3" s="3"/>
      <c r="R3" s="356"/>
      <c r="S3" s="356"/>
      <c r="V3" s="357"/>
      <c r="W3" s="357"/>
      <c r="X3" s="357"/>
    </row>
    <row r="4" spans="1:37" x14ac:dyDescent="0.2">
      <c r="A4" t="s">
        <v>5</v>
      </c>
      <c r="M4" s="281"/>
      <c r="N4" s="281"/>
    </row>
    <row r="5" spans="1:37" x14ac:dyDescent="0.2">
      <c r="D5" s="9"/>
      <c r="E5" s="9"/>
      <c r="F5" s="9"/>
      <c r="G5" s="9"/>
      <c r="H5" s="9"/>
      <c r="I5" s="9"/>
      <c r="J5" s="9"/>
      <c r="K5" s="9"/>
      <c r="L5" s="9"/>
      <c r="M5" s="5"/>
      <c r="N5" s="5"/>
      <c r="O5" s="5"/>
      <c r="P5" s="274"/>
      <c r="R5" s="5"/>
      <c r="S5" s="5"/>
      <c r="T5" s="5"/>
      <c r="U5" s="5"/>
      <c r="X5" s="5"/>
      <c r="Y5" s="5"/>
      <c r="Z5" s="5"/>
      <c r="AA5" s="5"/>
      <c r="AB5" s="5"/>
      <c r="AC5" s="5"/>
    </row>
    <row r="6" spans="1:37" s="5" customFormat="1" x14ac:dyDescent="0.2">
      <c r="A6" s="5" t="s">
        <v>232</v>
      </c>
      <c r="D6" s="9"/>
      <c r="E6" s="9"/>
      <c r="F6" s="9"/>
      <c r="G6" s="9"/>
      <c r="H6" s="9"/>
      <c r="I6" s="9"/>
      <c r="J6" s="9"/>
      <c r="K6" s="9"/>
      <c r="L6" s="9"/>
      <c r="P6" s="274"/>
      <c r="V6" s="9"/>
      <c r="W6" s="9"/>
    </row>
    <row r="7" spans="1:37" s="5" customFormat="1" x14ac:dyDescent="0.2">
      <c r="A7" s="5" t="s">
        <v>199</v>
      </c>
      <c r="D7" s="9"/>
      <c r="E7" s="9"/>
      <c r="F7" s="9"/>
      <c r="G7" s="9"/>
      <c r="H7" s="9"/>
      <c r="I7" s="9"/>
      <c r="J7" s="9"/>
      <c r="K7" s="9"/>
      <c r="L7" s="9"/>
      <c r="P7" s="274"/>
      <c r="V7" s="9"/>
      <c r="W7" s="9"/>
    </row>
    <row r="8" spans="1:37" ht="15.75" x14ac:dyDescent="0.25">
      <c r="D8" s="285"/>
      <c r="E8" s="285"/>
      <c r="F8" s="285"/>
      <c r="G8" s="285"/>
      <c r="H8" s="285"/>
      <c r="I8" s="285"/>
      <c r="J8" s="285"/>
      <c r="K8" s="285"/>
      <c r="L8" s="285"/>
      <c r="M8" s="8"/>
      <c r="N8" s="8"/>
      <c r="O8" s="5"/>
      <c r="P8" s="275"/>
      <c r="R8" s="8"/>
      <c r="S8" s="8"/>
      <c r="T8" s="8"/>
      <c r="U8" s="8"/>
      <c r="X8" s="5"/>
      <c r="Y8" s="5"/>
      <c r="Z8" s="5"/>
      <c r="AA8" s="5"/>
      <c r="AB8" s="5"/>
      <c r="AC8" s="5"/>
    </row>
    <row r="9" spans="1:37" x14ac:dyDescent="0.2">
      <c r="B9" s="545" t="s">
        <v>154</v>
      </c>
      <c r="C9" s="545"/>
      <c r="D9" s="545"/>
      <c r="E9" s="545"/>
      <c r="F9" s="545"/>
      <c r="G9" s="545"/>
      <c r="H9" s="545"/>
      <c r="I9" s="545"/>
      <c r="J9" s="545"/>
      <c r="K9" s="545"/>
      <c r="L9" s="545"/>
      <c r="M9" s="450"/>
      <c r="N9" s="450"/>
      <c r="O9" s="457" t="s">
        <v>248</v>
      </c>
      <c r="P9" s="274"/>
      <c r="R9" s="545" t="s">
        <v>206</v>
      </c>
      <c r="S9" s="545"/>
      <c r="T9" s="545"/>
      <c r="U9" s="545"/>
      <c r="V9" s="545"/>
      <c r="W9" s="545"/>
      <c r="X9" s="545"/>
      <c r="Y9" s="545"/>
      <c r="Z9" s="545"/>
      <c r="AA9" s="545"/>
      <c r="AB9" s="545"/>
      <c r="AC9" s="64" t="s">
        <v>151</v>
      </c>
    </row>
    <row r="10" spans="1:37" x14ac:dyDescent="0.2">
      <c r="A10" s="448" t="s">
        <v>2</v>
      </c>
      <c r="B10" s="455">
        <v>2017</v>
      </c>
      <c r="C10" s="78">
        <v>2016</v>
      </c>
      <c r="D10" s="78">
        <v>2015</v>
      </c>
      <c r="E10" s="78">
        <v>2014</v>
      </c>
      <c r="F10" s="78">
        <v>2013</v>
      </c>
      <c r="G10" s="78">
        <v>2012</v>
      </c>
      <c r="H10" s="78">
        <v>2011</v>
      </c>
      <c r="I10" s="78">
        <v>2010</v>
      </c>
      <c r="J10" s="78">
        <v>2009</v>
      </c>
      <c r="K10" s="78">
        <v>2008</v>
      </c>
      <c r="L10" s="78">
        <v>2007</v>
      </c>
      <c r="M10" s="78">
        <v>2006</v>
      </c>
      <c r="N10" s="78">
        <v>2005</v>
      </c>
      <c r="O10" s="10" t="s">
        <v>66</v>
      </c>
      <c r="P10" s="276"/>
      <c r="Q10" s="1" t="s">
        <v>2</v>
      </c>
      <c r="R10" s="78">
        <v>2006</v>
      </c>
      <c r="S10" s="78">
        <v>2005</v>
      </c>
      <c r="T10" s="78">
        <v>2004</v>
      </c>
      <c r="U10" s="78">
        <v>2003</v>
      </c>
      <c r="V10" s="78">
        <v>2002</v>
      </c>
      <c r="W10" s="78">
        <v>2001</v>
      </c>
      <c r="X10" s="78">
        <v>2000</v>
      </c>
      <c r="Y10" s="78">
        <v>1999</v>
      </c>
      <c r="Z10" s="78">
        <v>1998</v>
      </c>
      <c r="AA10" s="78">
        <v>1997</v>
      </c>
      <c r="AB10" s="78">
        <v>1996</v>
      </c>
      <c r="AC10" s="10" t="s">
        <v>66</v>
      </c>
    </row>
    <row r="11" spans="1:37" ht="20.25" customHeight="1" x14ac:dyDescent="0.2">
      <c r="A11" s="9" t="s">
        <v>3</v>
      </c>
      <c r="B11" s="9"/>
      <c r="C11" s="5"/>
      <c r="D11" s="5"/>
      <c r="E11" s="5"/>
      <c r="F11" s="5"/>
      <c r="G11" s="5"/>
      <c r="H11" s="5"/>
      <c r="I11" s="5"/>
      <c r="J11" s="5"/>
      <c r="K11" s="5"/>
      <c r="L11" s="5"/>
      <c r="M11" s="378"/>
      <c r="N11" s="5"/>
      <c r="O11" s="5"/>
      <c r="P11" s="277"/>
      <c r="Q11" s="9" t="s">
        <v>3</v>
      </c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37" x14ac:dyDescent="0.2">
      <c r="A12" s="287" t="s">
        <v>155</v>
      </c>
      <c r="B12" s="364">
        <v>2487.8000000000002</v>
      </c>
      <c r="C12" s="365">
        <v>2467.4</v>
      </c>
      <c r="D12" s="365">
        <v>2703.7</v>
      </c>
      <c r="E12" s="365">
        <v>2599</v>
      </c>
      <c r="F12" s="365">
        <v>2449.9</v>
      </c>
      <c r="G12" s="365">
        <v>2430.1999999999998</v>
      </c>
      <c r="H12" s="365">
        <v>2298.3000000000002</v>
      </c>
      <c r="I12" s="365">
        <v>2426.6999999999998</v>
      </c>
      <c r="J12" s="365">
        <v>2289.1</v>
      </c>
      <c r="K12" s="365">
        <v>3025.4</v>
      </c>
      <c r="L12" s="365">
        <f>3201.1-56.4</f>
        <v>3144.7</v>
      </c>
      <c r="M12" s="365">
        <f>3320.6-66.1</f>
        <v>3254.5</v>
      </c>
      <c r="N12" s="365">
        <f>3277.3-60.4</f>
        <v>3216.9</v>
      </c>
      <c r="O12" s="286">
        <f>(B12/L12)^(1/10)-1</f>
        <v>-2.3159574143620909E-2</v>
      </c>
      <c r="P12" s="233"/>
      <c r="Q12" t="s">
        <v>6</v>
      </c>
      <c r="R12" s="96">
        <v>4361</v>
      </c>
      <c r="S12" s="96">
        <v>4163</v>
      </c>
      <c r="T12" s="96">
        <v>4029.3</v>
      </c>
      <c r="U12" s="96">
        <v>3468</v>
      </c>
      <c r="V12" s="96">
        <v>3489.7</v>
      </c>
      <c r="W12" s="96">
        <v>3421.1</v>
      </c>
      <c r="X12" s="96">
        <v>3675.6</v>
      </c>
      <c r="Y12" s="96">
        <v>3345.8</v>
      </c>
      <c r="Z12" s="96">
        <v>3025.9</v>
      </c>
      <c r="AA12" s="96">
        <v>2636.6</v>
      </c>
      <c r="AB12" s="96">
        <v>2304.8000000000002</v>
      </c>
      <c r="AC12" s="223">
        <f>+(R12/AB12)^(1/10)-1</f>
        <v>6.5848023393856314E-2</v>
      </c>
    </row>
    <row r="13" spans="1:37" x14ac:dyDescent="0.2">
      <c r="A13" s="290" t="s">
        <v>198</v>
      </c>
      <c r="B13" s="453">
        <f>B14/B21</f>
        <v>0.63081292154774582</v>
      </c>
      <c r="C13" s="63">
        <f>C14/C21</f>
        <v>0.65799087975679349</v>
      </c>
      <c r="D13" s="63">
        <f>D14/D21</f>
        <v>0.69021239660982325</v>
      </c>
      <c r="E13" s="63">
        <f t="shared" ref="E13" si="0">E14/E21</f>
        <v>0.68714803162097138</v>
      </c>
      <c r="F13" s="63">
        <f t="shared" ref="F13" si="1">F14/F21</f>
        <v>0.70456114114805024</v>
      </c>
      <c r="G13" s="63">
        <f t="shared" ref="G13" si="2">G14/G21</f>
        <v>0.71172938936886809</v>
      </c>
      <c r="H13" s="63">
        <f t="shared" ref="H13" si="3">H14/H21</f>
        <v>0.69580091429263424</v>
      </c>
      <c r="I13" s="63">
        <f t="shared" ref="I13" si="4">I14/I21</f>
        <v>0.72242564972760548</v>
      </c>
      <c r="J13" s="63">
        <f t="shared" ref="J13:N13" si="5">J14/J21</f>
        <v>0.7492717096003404</v>
      </c>
      <c r="K13" s="63">
        <f t="shared" si="5"/>
        <v>0.74222909153357375</v>
      </c>
      <c r="L13" s="63">
        <f t="shared" si="5"/>
        <v>0.73992941176470584</v>
      </c>
      <c r="M13" s="63">
        <f t="shared" si="5"/>
        <v>0.7627317256087558</v>
      </c>
      <c r="N13" s="63">
        <f t="shared" si="5"/>
        <v>0.76645779228514921</v>
      </c>
      <c r="O13" s="286"/>
      <c r="P13" s="233"/>
      <c r="Q13" s="290" t="s">
        <v>198</v>
      </c>
      <c r="R13" s="63">
        <f>R14/R20</f>
        <v>0.7920450417726117</v>
      </c>
      <c r="S13" s="63">
        <f t="shared" ref="S13:AB13" si="6">S14/S20</f>
        <v>0.78561992828835625</v>
      </c>
      <c r="T13" s="63">
        <f t="shared" si="6"/>
        <v>0.79231147379805333</v>
      </c>
      <c r="U13" s="63">
        <f t="shared" si="6"/>
        <v>0.79033728350045573</v>
      </c>
      <c r="V13" s="63">
        <f t="shared" si="6"/>
        <v>0.81691558593567104</v>
      </c>
      <c r="W13" s="63">
        <f t="shared" si="6"/>
        <v>0.83161553794545207</v>
      </c>
      <c r="X13" s="63">
        <f t="shared" si="6"/>
        <v>0.85952809671912633</v>
      </c>
      <c r="Y13" s="63">
        <f t="shared" si="6"/>
        <v>0.88543679043057133</v>
      </c>
      <c r="Z13" s="63">
        <f t="shared" si="6"/>
        <v>0.89778661286494188</v>
      </c>
      <c r="AA13" s="63">
        <f t="shared" si="6"/>
        <v>0.90626611212319119</v>
      </c>
      <c r="AB13" s="63">
        <f t="shared" si="6"/>
        <v>0.93455518611629229</v>
      </c>
      <c r="AC13" s="223"/>
    </row>
    <row r="14" spans="1:37" s="340" customFormat="1" ht="6" customHeight="1" x14ac:dyDescent="0.2">
      <c r="A14" s="335"/>
      <c r="B14" s="381">
        <f>B12</f>
        <v>2487.8000000000002</v>
      </c>
      <c r="C14" s="381">
        <f>C12</f>
        <v>2467.4</v>
      </c>
      <c r="D14" s="381">
        <f t="shared" ref="D14:G14" si="7">D12</f>
        <v>2703.7</v>
      </c>
      <c r="E14" s="381">
        <f t="shared" ref="E14" si="8">E12</f>
        <v>2599</v>
      </c>
      <c r="F14" s="381">
        <f t="shared" ref="F14" si="9">F12</f>
        <v>2449.9</v>
      </c>
      <c r="G14" s="381">
        <f t="shared" si="7"/>
        <v>2430.1999999999998</v>
      </c>
      <c r="H14" s="381">
        <f t="shared" ref="H14" si="10">H12</f>
        <v>2298.3000000000002</v>
      </c>
      <c r="I14" s="381">
        <f t="shared" ref="I14" si="11">I12</f>
        <v>2426.6999999999998</v>
      </c>
      <c r="J14" s="381">
        <f t="shared" ref="J14:N14" si="12">J12</f>
        <v>2289.1</v>
      </c>
      <c r="K14" s="381">
        <f t="shared" si="12"/>
        <v>3025.4</v>
      </c>
      <c r="L14" s="381">
        <f t="shared" si="12"/>
        <v>3144.7</v>
      </c>
      <c r="M14" s="336">
        <f t="shared" si="12"/>
        <v>3254.5</v>
      </c>
      <c r="N14" s="336">
        <f t="shared" si="12"/>
        <v>3216.9</v>
      </c>
      <c r="O14" s="337"/>
      <c r="P14" s="338"/>
      <c r="Q14" s="335"/>
      <c r="R14" s="336">
        <f t="shared" ref="R14:AB14" si="13">R12</f>
        <v>4361</v>
      </c>
      <c r="S14" s="336">
        <f t="shared" si="13"/>
        <v>4163</v>
      </c>
      <c r="T14" s="336">
        <f t="shared" si="13"/>
        <v>4029.3</v>
      </c>
      <c r="U14" s="336">
        <f t="shared" si="13"/>
        <v>3468</v>
      </c>
      <c r="V14" s="336">
        <f t="shared" si="13"/>
        <v>3489.7</v>
      </c>
      <c r="W14" s="336">
        <f t="shared" si="13"/>
        <v>3421.1</v>
      </c>
      <c r="X14" s="336">
        <f t="shared" si="13"/>
        <v>3675.6</v>
      </c>
      <c r="Y14" s="336">
        <f t="shared" si="13"/>
        <v>3345.8</v>
      </c>
      <c r="Z14" s="336">
        <f t="shared" si="13"/>
        <v>3025.9</v>
      </c>
      <c r="AA14" s="336">
        <f t="shared" si="13"/>
        <v>2636.6</v>
      </c>
      <c r="AB14" s="336">
        <f t="shared" si="13"/>
        <v>2304.8000000000002</v>
      </c>
      <c r="AC14" s="339"/>
    </row>
    <row r="15" spans="1:37" x14ac:dyDescent="0.2">
      <c r="A15" s="287" t="s">
        <v>156</v>
      </c>
      <c r="B15" s="451">
        <f>148.5+265.1</f>
        <v>413.6</v>
      </c>
      <c r="C15" s="96">
        <v>347.9</v>
      </c>
      <c r="D15" s="96">
        <f>203.1+117.3</f>
        <v>320.39999999999998</v>
      </c>
      <c r="E15" s="96">
        <f>206.5+90.1</f>
        <v>296.60000000000002</v>
      </c>
      <c r="F15" s="96">
        <f>201.6+69.6</f>
        <v>271.2</v>
      </c>
      <c r="G15" s="96">
        <f>213.2+64.5</f>
        <v>277.7</v>
      </c>
      <c r="H15" s="96">
        <f>212.5+50.5</f>
        <v>263</v>
      </c>
      <c r="I15" s="96">
        <f>200.6+47.7</f>
        <v>248.3</v>
      </c>
      <c r="J15" s="96">
        <f>170.1+41.8</f>
        <v>211.89999999999998</v>
      </c>
      <c r="K15" s="96">
        <v>323.10000000000002</v>
      </c>
      <c r="L15" s="96">
        <f>337.4+79.8</f>
        <v>417.2</v>
      </c>
      <c r="M15" s="96">
        <f>373.3+75.3</f>
        <v>448.6</v>
      </c>
      <c r="N15" s="96">
        <f>391.8+80.7</f>
        <v>472.5</v>
      </c>
      <c r="O15" s="286">
        <f>(B15/L15)^(1/10)-1</f>
        <v>-8.6626456926119921E-4</v>
      </c>
      <c r="P15" s="233"/>
      <c r="Q15" t="s">
        <v>91</v>
      </c>
      <c r="R15" s="96">
        <f>420+161</f>
        <v>581</v>
      </c>
      <c r="S15" s="96">
        <f>459+155</f>
        <v>614</v>
      </c>
      <c r="T15" s="96">
        <f>421+145.7</f>
        <v>566.70000000000005</v>
      </c>
      <c r="U15" s="96">
        <v>559</v>
      </c>
      <c r="V15" s="96">
        <v>477.6</v>
      </c>
      <c r="W15" s="96">
        <f>102.3+324.9</f>
        <v>427.2</v>
      </c>
      <c r="X15" s="96">
        <v>385</v>
      </c>
      <c r="Y15" s="96">
        <v>283.89999999999998</v>
      </c>
      <c r="Z15" s="96">
        <v>234.2</v>
      </c>
      <c r="AA15" s="96">
        <v>199.1</v>
      </c>
      <c r="AB15" s="96">
        <v>127.1</v>
      </c>
      <c r="AC15" s="223">
        <f>+(R15/AB15)^(1/10)-1</f>
        <v>0.16413422689826085</v>
      </c>
    </row>
    <row r="16" spans="1:37" x14ac:dyDescent="0.2">
      <c r="A16" s="287" t="s">
        <v>157</v>
      </c>
      <c r="B16" s="451">
        <v>475.3</v>
      </c>
      <c r="C16" s="96">
        <v>445.2</v>
      </c>
      <c r="D16" s="96">
        <v>426.8</v>
      </c>
      <c r="E16" s="96">
        <v>422.7</v>
      </c>
      <c r="F16" s="96">
        <v>351.7</v>
      </c>
      <c r="G16" s="96">
        <v>326.2</v>
      </c>
      <c r="H16" s="96">
        <v>346.7</v>
      </c>
      <c r="I16" s="96">
        <v>302.3</v>
      </c>
      <c r="J16" s="96">
        <v>278.10000000000002</v>
      </c>
      <c r="K16" s="96">
        <v>409</v>
      </c>
      <c r="L16" s="96">
        <v>402</v>
      </c>
      <c r="M16" s="96">
        <v>353.7</v>
      </c>
      <c r="N16" s="96">
        <v>373.9</v>
      </c>
      <c r="O16" s="286">
        <f>(B16/L16)^(1/10)-1</f>
        <v>1.6890467303899648E-2</v>
      </c>
      <c r="P16" s="233"/>
      <c r="Q16" t="s">
        <v>92</v>
      </c>
      <c r="R16" s="96">
        <v>354</v>
      </c>
      <c r="S16" s="96">
        <v>374</v>
      </c>
      <c r="T16" s="96">
        <v>403.2</v>
      </c>
      <c r="U16" s="96">
        <v>315</v>
      </c>
      <c r="V16" s="96">
        <v>268.2</v>
      </c>
      <c r="W16" s="96">
        <v>237</v>
      </c>
      <c r="X16" s="96">
        <v>190.5</v>
      </c>
      <c r="Y16" s="96">
        <v>139.19999999999999</v>
      </c>
      <c r="Z16" s="96">
        <v>110.3</v>
      </c>
      <c r="AA16" s="96">
        <v>73.599999999999994</v>
      </c>
      <c r="AB16" s="96">
        <v>34.299999999999997</v>
      </c>
      <c r="AC16" s="223">
        <f>+(R16/AB16)^(1/10)-1</f>
        <v>0.26290567324521152</v>
      </c>
    </row>
    <row r="17" spans="1:30" x14ac:dyDescent="0.2">
      <c r="A17" s="287" t="s">
        <v>100</v>
      </c>
      <c r="B17" s="451">
        <v>481.6</v>
      </c>
      <c r="C17" s="96">
        <v>420</v>
      </c>
      <c r="D17" s="96">
        <v>392</v>
      </c>
      <c r="E17" s="96">
        <v>390</v>
      </c>
      <c r="F17" s="96">
        <v>335.5</v>
      </c>
      <c r="G17" s="96">
        <v>311.89999999999998</v>
      </c>
      <c r="H17" s="96">
        <v>319.39999999999998</v>
      </c>
      <c r="I17" s="96">
        <v>323.5</v>
      </c>
      <c r="J17" s="96">
        <v>233.1</v>
      </c>
      <c r="K17" s="96">
        <v>267.2</v>
      </c>
      <c r="L17" s="96">
        <v>224</v>
      </c>
      <c r="M17" s="96">
        <v>157.30000000000001</v>
      </c>
      <c r="N17" s="96">
        <v>94.6</v>
      </c>
      <c r="O17" s="286">
        <f>(B17/L17)^(1/10)-1</f>
        <v>7.9552695180010957E-2</v>
      </c>
      <c r="P17" s="233"/>
      <c r="Q17" t="s">
        <v>93</v>
      </c>
      <c r="R17" s="224">
        <v>210</v>
      </c>
      <c r="S17" s="224">
        <f>109+39</f>
        <v>148</v>
      </c>
      <c r="T17" s="224">
        <v>86.3</v>
      </c>
      <c r="U17" s="224">
        <v>46</v>
      </c>
      <c r="V17" s="224">
        <v>36.299999999999997</v>
      </c>
      <c r="W17" s="224">
        <v>28.5</v>
      </c>
      <c r="X17" s="224">
        <v>25.2</v>
      </c>
      <c r="Y17" s="224">
        <v>9.8000000000000007</v>
      </c>
      <c r="Z17" s="224"/>
      <c r="AA17" s="224"/>
      <c r="AB17" s="224"/>
      <c r="AC17" s="223"/>
    </row>
    <row r="18" spans="1:30" x14ac:dyDescent="0.2">
      <c r="A18" s="287" t="s">
        <v>158</v>
      </c>
      <c r="B18" s="452">
        <v>85.5</v>
      </c>
      <c r="C18" s="224">
        <v>69.400000000000006</v>
      </c>
      <c r="D18" s="224">
        <v>74.3</v>
      </c>
      <c r="E18" s="224">
        <v>74</v>
      </c>
      <c r="F18" s="224">
        <v>68.900000000000006</v>
      </c>
      <c r="G18" s="224">
        <v>68.5</v>
      </c>
      <c r="H18" s="224">
        <v>75.7</v>
      </c>
      <c r="I18" s="224">
        <v>58.3</v>
      </c>
      <c r="J18" s="224">
        <v>42.9</v>
      </c>
      <c r="K18" s="224">
        <v>51.4</v>
      </c>
      <c r="L18" s="224">
        <v>62.1</v>
      </c>
      <c r="M18" s="224">
        <v>52.8</v>
      </c>
      <c r="N18" s="224">
        <v>39.200000000000003</v>
      </c>
      <c r="O18" s="286">
        <f>(B18/L18)^(1/10)-1</f>
        <v>3.2493797633443178E-2</v>
      </c>
      <c r="P18" s="225"/>
      <c r="Q18" t="s">
        <v>130</v>
      </c>
      <c r="R18" s="225">
        <f t="shared" ref="R18:AB18" si="14">SUM(R15:R17)</f>
        <v>1145</v>
      </c>
      <c r="S18" s="225">
        <f t="shared" si="14"/>
        <v>1136</v>
      </c>
      <c r="T18" s="225">
        <f t="shared" si="14"/>
        <v>1056.2</v>
      </c>
      <c r="U18" s="225">
        <f t="shared" si="14"/>
        <v>920</v>
      </c>
      <c r="V18" s="225">
        <f t="shared" si="14"/>
        <v>782.09999999999991</v>
      </c>
      <c r="W18" s="225">
        <f t="shared" si="14"/>
        <v>692.7</v>
      </c>
      <c r="X18" s="225">
        <f t="shared" si="14"/>
        <v>600.70000000000005</v>
      </c>
      <c r="Y18" s="225">
        <f t="shared" si="14"/>
        <v>432.9</v>
      </c>
      <c r="Z18" s="225">
        <f t="shared" si="14"/>
        <v>344.5</v>
      </c>
      <c r="AA18" s="225">
        <f t="shared" si="14"/>
        <v>272.7</v>
      </c>
      <c r="AB18" s="225">
        <f t="shared" si="14"/>
        <v>161.39999999999998</v>
      </c>
      <c r="AC18" s="223">
        <f>+(R18/AB18)^(1/10)-1</f>
        <v>0.21643860816848925</v>
      </c>
      <c r="AD18" s="229"/>
    </row>
    <row r="19" spans="1:30" x14ac:dyDescent="0.2">
      <c r="A19" s="289" t="s">
        <v>159</v>
      </c>
      <c r="B19" s="233">
        <f t="shared" ref="B19:N19" si="15">SUM(B15:B18)</f>
        <v>1456</v>
      </c>
      <c r="C19" s="225">
        <f t="shared" si="15"/>
        <v>1282.5</v>
      </c>
      <c r="D19" s="225">
        <f t="shared" si="15"/>
        <v>1213.5</v>
      </c>
      <c r="E19" s="225">
        <f t="shared" ref="E19" si="16">SUM(E15:E18)</f>
        <v>1183.3</v>
      </c>
      <c r="F19" s="225">
        <f t="shared" ref="F19" si="17">SUM(F15:F18)</f>
        <v>1027.3</v>
      </c>
      <c r="G19" s="225">
        <f t="shared" ref="G19" si="18">SUM(G15:G18)</f>
        <v>984.3</v>
      </c>
      <c r="H19" s="225">
        <f t="shared" ref="H19" si="19">SUM(H15:H18)</f>
        <v>1004.8000000000001</v>
      </c>
      <c r="I19" s="225">
        <f t="shared" ref="I19" si="20">SUM(I15:I18)</f>
        <v>932.4</v>
      </c>
      <c r="J19" s="225">
        <f t="shared" si="15"/>
        <v>766</v>
      </c>
      <c r="K19" s="225">
        <f t="shared" si="15"/>
        <v>1050.7</v>
      </c>
      <c r="L19" s="225">
        <f t="shared" si="15"/>
        <v>1105.3</v>
      </c>
      <c r="M19" s="225">
        <f t="shared" si="15"/>
        <v>1012.3999999999999</v>
      </c>
      <c r="N19" s="225">
        <f t="shared" si="15"/>
        <v>980.2</v>
      </c>
      <c r="O19" s="286"/>
      <c r="P19" s="63"/>
      <c r="Q19" s="62" t="s">
        <v>65</v>
      </c>
      <c r="R19" s="63">
        <f t="shared" ref="R19:AB19" si="21">+SUM(R15:R17)/R20</f>
        <v>0.2079549582273883</v>
      </c>
      <c r="S19" s="63">
        <f t="shared" si="21"/>
        <v>0.21438007171164369</v>
      </c>
      <c r="T19" s="63">
        <f>+SUM(T15:T17)/T20</f>
        <v>0.20768852620194672</v>
      </c>
      <c r="U19" s="63">
        <f t="shared" si="21"/>
        <v>0.20966271649954421</v>
      </c>
      <c r="V19" s="63">
        <f t="shared" si="21"/>
        <v>0.18308441406432882</v>
      </c>
      <c r="W19" s="63">
        <f t="shared" si="21"/>
        <v>0.16838446205454816</v>
      </c>
      <c r="X19" s="63">
        <f t="shared" si="21"/>
        <v>0.14047190328087367</v>
      </c>
      <c r="Y19" s="63">
        <f t="shared" si="21"/>
        <v>0.11456320956942863</v>
      </c>
      <c r="Z19" s="63">
        <f t="shared" si="21"/>
        <v>0.10221338713505815</v>
      </c>
      <c r="AA19" s="63">
        <f t="shared" si="21"/>
        <v>9.3733887876808863E-2</v>
      </c>
      <c r="AB19" s="63">
        <f t="shared" si="21"/>
        <v>6.5444813883707709E-2</v>
      </c>
      <c r="AC19" s="5"/>
    </row>
    <row r="20" spans="1:30" ht="17.25" customHeight="1" thickBot="1" x14ac:dyDescent="0.25">
      <c r="A20" s="290" t="s">
        <v>160</v>
      </c>
      <c r="B20" s="453">
        <f t="shared" ref="B20:N20" si="22">+SUM(B15:B18)/B21</f>
        <v>0.36918707845225418</v>
      </c>
      <c r="C20" s="63">
        <f t="shared" si="22"/>
        <v>0.34200912024320645</v>
      </c>
      <c r="D20" s="63">
        <f t="shared" si="22"/>
        <v>0.30978760339017664</v>
      </c>
      <c r="E20" s="63">
        <f t="shared" ref="E20" si="23">+SUM(E15:E18)/E21</f>
        <v>0.31285196837902862</v>
      </c>
      <c r="F20" s="63">
        <f t="shared" ref="F20" si="24">+SUM(F15:F18)/F21</f>
        <v>0.29543885885194987</v>
      </c>
      <c r="G20" s="63">
        <f t="shared" ref="G20" si="25">+SUM(G15:G18)/G21</f>
        <v>0.28827061063113196</v>
      </c>
      <c r="H20" s="63">
        <f t="shared" ref="H20" si="26">+SUM(H15:H18)/H21</f>
        <v>0.30419908570736581</v>
      </c>
      <c r="I20" s="63">
        <f t="shared" ref="I20" si="27">+SUM(I15:I18)/I21</f>
        <v>0.27757435027239435</v>
      </c>
      <c r="J20" s="63">
        <f t="shared" si="22"/>
        <v>0.2507282903996596</v>
      </c>
      <c r="K20" s="63">
        <f t="shared" si="22"/>
        <v>0.25777090846642625</v>
      </c>
      <c r="L20" s="63">
        <f t="shared" si="22"/>
        <v>0.26007058823529411</v>
      </c>
      <c r="M20" s="63">
        <f t="shared" si="22"/>
        <v>0.2372682743912442</v>
      </c>
      <c r="N20" s="63">
        <f t="shared" si="22"/>
        <v>0.23354220771485071</v>
      </c>
      <c r="O20" s="286"/>
      <c r="P20" s="225"/>
      <c r="Q20" s="6" t="s">
        <v>1</v>
      </c>
      <c r="R20" s="97">
        <f>SUM(R12,R15:R17)</f>
        <v>5506</v>
      </c>
      <c r="S20" s="97">
        <f t="shared" ref="S20:AB20" si="28">SUM(S12,S15:S17)</f>
        <v>5299</v>
      </c>
      <c r="T20" s="97">
        <f t="shared" si="28"/>
        <v>5085.5</v>
      </c>
      <c r="U20" s="97">
        <f t="shared" si="28"/>
        <v>4388</v>
      </c>
      <c r="V20" s="97">
        <f t="shared" si="28"/>
        <v>4271.8</v>
      </c>
      <c r="W20" s="97">
        <f t="shared" si="28"/>
        <v>4113.7999999999993</v>
      </c>
      <c r="X20" s="97">
        <f t="shared" si="28"/>
        <v>4276.3</v>
      </c>
      <c r="Y20" s="97">
        <f t="shared" si="28"/>
        <v>3778.7000000000003</v>
      </c>
      <c r="Z20" s="97">
        <f t="shared" si="28"/>
        <v>3370.4</v>
      </c>
      <c r="AA20" s="97">
        <f t="shared" si="28"/>
        <v>2909.2999999999997</v>
      </c>
      <c r="AB20" s="97">
        <f t="shared" si="28"/>
        <v>2466.2000000000003</v>
      </c>
      <c r="AC20" s="223">
        <f>+(R20/AB20)^(1/10)-1</f>
        <v>8.3629429889667373E-2</v>
      </c>
    </row>
    <row r="21" spans="1:30" ht="17.25" customHeight="1" thickBot="1" x14ac:dyDescent="0.25">
      <c r="A21" s="288" t="s">
        <v>161</v>
      </c>
      <c r="B21" s="454">
        <f t="shared" ref="B21:N21" si="29">SUM(B12,B15:B18)</f>
        <v>3943.8</v>
      </c>
      <c r="C21" s="97">
        <f t="shared" si="29"/>
        <v>3749.9</v>
      </c>
      <c r="D21" s="97">
        <f t="shared" si="29"/>
        <v>3917.2000000000003</v>
      </c>
      <c r="E21" s="97">
        <f t="shared" ref="E21" si="30">SUM(E12,E15:E18)</f>
        <v>3782.2999999999997</v>
      </c>
      <c r="F21" s="97">
        <f t="shared" ref="F21" si="31">SUM(F12,F15:F18)</f>
        <v>3477.2</v>
      </c>
      <c r="G21" s="97">
        <f t="shared" ref="G21" si="32">SUM(G12,G15:G18)</f>
        <v>3414.4999999999995</v>
      </c>
      <c r="H21" s="97">
        <f t="shared" ref="H21" si="33">SUM(H12,H15:H18)</f>
        <v>3303.1</v>
      </c>
      <c r="I21" s="97">
        <f t="shared" ref="I21" si="34">SUM(I12,I15:I18)</f>
        <v>3359.1000000000004</v>
      </c>
      <c r="J21" s="97">
        <f t="shared" si="29"/>
        <v>3055.1</v>
      </c>
      <c r="K21" s="97">
        <f t="shared" si="29"/>
        <v>4076.1</v>
      </c>
      <c r="L21" s="97">
        <f t="shared" si="29"/>
        <v>4250</v>
      </c>
      <c r="M21" s="97">
        <f t="shared" si="29"/>
        <v>4266.8999999999996</v>
      </c>
      <c r="N21" s="97">
        <f t="shared" si="29"/>
        <v>4197.1000000000004</v>
      </c>
      <c r="O21" s="286">
        <f>(B21/L21)^(1/10)-1</f>
        <v>-7.4495393436702084E-3</v>
      </c>
      <c r="P21" s="80"/>
      <c r="Q21" s="9" t="s">
        <v>94</v>
      </c>
      <c r="R21" s="81"/>
      <c r="S21" s="267"/>
      <c r="T21" s="268"/>
      <c r="U21" s="267"/>
      <c r="V21" s="268"/>
      <c r="W21" s="268"/>
      <c r="X21" s="267"/>
      <c r="Y21" s="267"/>
      <c r="Z21" s="267"/>
      <c r="AA21" s="267"/>
      <c r="AB21" s="267"/>
      <c r="AC21" s="269"/>
    </row>
    <row r="22" spans="1:30" x14ac:dyDescent="0.2">
      <c r="A22" s="9" t="s">
        <v>94</v>
      </c>
      <c r="B22" s="9"/>
      <c r="C22" s="9"/>
      <c r="D22" s="81"/>
      <c r="E22" s="80"/>
      <c r="F22" s="80"/>
      <c r="G22" s="80"/>
      <c r="H22" s="80"/>
      <c r="I22" s="80"/>
      <c r="J22" s="80"/>
      <c r="K22" s="80"/>
      <c r="L22" s="81"/>
      <c r="M22" s="81"/>
      <c r="N22" s="81"/>
      <c r="O22" s="269"/>
      <c r="P22" s="278"/>
      <c r="Q22" s="4"/>
      <c r="R22" s="226" t="s">
        <v>162</v>
      </c>
      <c r="S22" s="270" t="s">
        <v>193</v>
      </c>
      <c r="T22" s="270" t="s">
        <v>144</v>
      </c>
      <c r="U22" s="270" t="s">
        <v>137</v>
      </c>
      <c r="V22" s="270"/>
      <c r="W22" s="270"/>
      <c r="X22" s="270" t="s">
        <v>95</v>
      </c>
      <c r="Y22" s="270" t="s">
        <v>98</v>
      </c>
      <c r="Z22" s="270" t="s">
        <v>100</v>
      </c>
      <c r="AA22" s="270" t="s">
        <v>102</v>
      </c>
      <c r="AB22" s="270" t="s">
        <v>104</v>
      </c>
      <c r="AC22" s="269"/>
    </row>
    <row r="23" spans="1:30" x14ac:dyDescent="0.2">
      <c r="A23" s="4"/>
      <c r="B23" s="277"/>
      <c r="C23" s="277"/>
      <c r="D23" s="226" t="s">
        <v>238</v>
      </c>
      <c r="E23" s="64"/>
      <c r="F23" s="226" t="s">
        <v>223</v>
      </c>
      <c r="G23" s="64"/>
      <c r="H23" s="64"/>
      <c r="I23" s="64"/>
      <c r="J23" s="64"/>
      <c r="K23" s="64"/>
      <c r="L23" s="226"/>
      <c r="M23" s="291" t="s">
        <v>162</v>
      </c>
      <c r="N23" s="37" t="s">
        <v>149</v>
      </c>
      <c r="O23" s="269"/>
      <c r="P23" s="278"/>
      <c r="Q23" s="4"/>
      <c r="R23" s="226"/>
      <c r="S23" s="270" t="s">
        <v>192</v>
      </c>
      <c r="T23" s="270" t="s">
        <v>145</v>
      </c>
      <c r="U23" s="270"/>
      <c r="V23" s="270"/>
      <c r="W23" s="270"/>
      <c r="X23" s="270" t="s">
        <v>96</v>
      </c>
      <c r="Y23" s="270" t="s">
        <v>99</v>
      </c>
      <c r="Z23" s="270" t="s">
        <v>101</v>
      </c>
      <c r="AA23" s="270" t="s">
        <v>103</v>
      </c>
      <c r="AB23" s="270" t="s">
        <v>138</v>
      </c>
      <c r="AC23" s="269"/>
    </row>
    <row r="24" spans="1:30" x14ac:dyDescent="0.2">
      <c r="A24" s="4"/>
      <c r="B24" s="4"/>
      <c r="C24" s="4"/>
      <c r="D24" s="64"/>
      <c r="E24" s="64"/>
      <c r="F24" s="64"/>
      <c r="G24" s="64"/>
      <c r="H24" s="64"/>
      <c r="I24" s="64"/>
      <c r="J24" s="64"/>
      <c r="K24" s="64"/>
      <c r="L24" s="226"/>
      <c r="M24" s="226"/>
      <c r="N24" s="226"/>
      <c r="O24" s="269"/>
      <c r="P24" s="278"/>
      <c r="Q24" s="4"/>
      <c r="R24" s="226"/>
      <c r="S24" s="270"/>
      <c r="T24" s="270"/>
      <c r="U24" s="270"/>
      <c r="V24" s="270"/>
      <c r="W24" s="270"/>
      <c r="X24" s="270" t="s">
        <v>97</v>
      </c>
      <c r="Y24" s="270"/>
      <c r="Z24" s="270"/>
      <c r="AA24" s="270" t="s">
        <v>163</v>
      </c>
      <c r="AB24" s="270"/>
      <c r="AC24" s="269"/>
    </row>
    <row r="25" spans="1:30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85"/>
      <c r="Q25" s="4"/>
      <c r="R25" s="85"/>
      <c r="S25" s="271"/>
      <c r="T25" s="271"/>
      <c r="U25" s="271"/>
      <c r="V25" s="271"/>
      <c r="W25" s="271"/>
      <c r="X25" s="271"/>
      <c r="Y25" s="271"/>
      <c r="Z25" s="271"/>
      <c r="AA25" s="270"/>
      <c r="AB25" s="271"/>
      <c r="AC25" s="269"/>
    </row>
    <row r="26" spans="1:30" ht="15" thickBot="1" x14ac:dyDescent="0.25">
      <c r="A26" s="274" t="s">
        <v>235</v>
      </c>
      <c r="B26" s="274"/>
      <c r="C26" s="27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279"/>
      <c r="Q26" s="82"/>
      <c r="R26" s="84"/>
      <c r="S26" s="84"/>
      <c r="T26" s="83"/>
      <c r="U26" s="84"/>
      <c r="V26" s="83"/>
      <c r="W26" s="83"/>
      <c r="X26" s="84"/>
      <c r="Y26" s="84"/>
      <c r="Z26" s="84"/>
      <c r="AA26" s="84"/>
      <c r="AB26" s="84"/>
      <c r="AC26" s="5"/>
    </row>
    <row r="27" spans="1:30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279"/>
      <c r="Q27" s="9" t="s">
        <v>8</v>
      </c>
      <c r="R27" s="79"/>
      <c r="S27" s="79"/>
      <c r="T27" s="61"/>
      <c r="U27" s="79"/>
      <c r="V27" s="61"/>
      <c r="W27" s="61"/>
      <c r="X27" s="79"/>
      <c r="Y27" s="79"/>
      <c r="Z27" s="79"/>
      <c r="AA27" s="79"/>
      <c r="AB27" s="79"/>
      <c r="AC27" s="5"/>
    </row>
    <row r="28" spans="1:30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233"/>
      <c r="Q28" t="s">
        <v>6</v>
      </c>
      <c r="R28" s="96">
        <v>1727.3</v>
      </c>
      <c r="S28" s="96">
        <v>1694</v>
      </c>
      <c r="T28" s="96">
        <v>1553.9</v>
      </c>
      <c r="U28" s="96">
        <v>1552</v>
      </c>
      <c r="V28" s="96">
        <v>1591.1</v>
      </c>
      <c r="W28" s="96">
        <v>1591.5</v>
      </c>
      <c r="X28" s="96">
        <v>1593.3</v>
      </c>
      <c r="Y28" s="96">
        <v>1421.4</v>
      </c>
      <c r="Z28" s="96">
        <v>1183.8</v>
      </c>
      <c r="AA28" s="96">
        <v>989.2</v>
      </c>
      <c r="AB28" s="96">
        <v>824.7</v>
      </c>
      <c r="AC28" s="223">
        <f>+(R28/AB28)^(1/10)-1</f>
        <v>7.6730903075538315E-2</v>
      </c>
    </row>
    <row r="29" spans="1:30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225"/>
      <c r="Q29" t="s">
        <v>7</v>
      </c>
      <c r="R29" s="224">
        <f>+R31-R28</f>
        <v>643.89999999999986</v>
      </c>
      <c r="S29" s="224">
        <f>+S31-S28</f>
        <v>595</v>
      </c>
      <c r="T29" s="224">
        <f>+T31-T28</f>
        <v>578.5</v>
      </c>
      <c r="U29" s="224">
        <v>518</v>
      </c>
      <c r="V29" s="224">
        <v>422</v>
      </c>
      <c r="W29" s="224">
        <f>159.8+239.7</f>
        <v>399.5</v>
      </c>
      <c r="X29" s="224">
        <v>374.6</v>
      </c>
      <c r="Y29" s="224">
        <v>299.89999999999998</v>
      </c>
      <c r="Z29" s="224">
        <v>214.4</v>
      </c>
      <c r="AA29" s="224">
        <v>172.5</v>
      </c>
      <c r="AB29" s="224">
        <v>124.9</v>
      </c>
      <c r="AC29" s="223">
        <f>+(R29/AB29)^(1/10)-1</f>
        <v>0.17821785179255367</v>
      </c>
    </row>
    <row r="30" spans="1:30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63"/>
      <c r="Q30" s="62" t="s">
        <v>65</v>
      </c>
      <c r="R30" s="63">
        <f t="shared" ref="R30:AB30" si="35">+R29/R31</f>
        <v>0.27155026990553305</v>
      </c>
      <c r="S30" s="63">
        <f t="shared" si="35"/>
        <v>0.25993883792048927</v>
      </c>
      <c r="T30" s="63">
        <f t="shared" si="35"/>
        <v>0.27129056462202211</v>
      </c>
      <c r="U30" s="63">
        <f t="shared" si="35"/>
        <v>0.25024154589371983</v>
      </c>
      <c r="V30" s="63">
        <f t="shared" si="35"/>
        <v>0.20962694351994438</v>
      </c>
      <c r="W30" s="63">
        <f t="shared" si="35"/>
        <v>0.20065293822199901</v>
      </c>
      <c r="X30" s="63">
        <f t="shared" si="35"/>
        <v>0.19035520097565933</v>
      </c>
      <c r="Y30" s="63">
        <f t="shared" si="35"/>
        <v>0.17422878057282284</v>
      </c>
      <c r="Z30" s="63">
        <f t="shared" si="35"/>
        <v>0.15334000858246316</v>
      </c>
      <c r="AA30" s="63">
        <f t="shared" si="35"/>
        <v>0.14848928294740465</v>
      </c>
      <c r="AB30" s="63">
        <f t="shared" si="35"/>
        <v>0.1315290648694187</v>
      </c>
      <c r="AC30" s="5"/>
    </row>
    <row r="31" spans="1:30" ht="17.25" customHeight="1" thickBo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233"/>
      <c r="Q31" s="6" t="s">
        <v>1</v>
      </c>
      <c r="R31" s="97">
        <v>2371.1999999999998</v>
      </c>
      <c r="S31" s="97">
        <v>2289</v>
      </c>
      <c r="T31" s="97">
        <v>2132.4</v>
      </c>
      <c r="U31" s="97">
        <f t="shared" ref="U31:AB31" si="36">SUM(U28:U29)</f>
        <v>2070</v>
      </c>
      <c r="V31" s="97">
        <f t="shared" si="36"/>
        <v>2013.1</v>
      </c>
      <c r="W31" s="97">
        <f t="shared" si="36"/>
        <v>1991</v>
      </c>
      <c r="X31" s="97">
        <f t="shared" si="36"/>
        <v>1967.9</v>
      </c>
      <c r="Y31" s="97">
        <f t="shared" si="36"/>
        <v>1721.3000000000002</v>
      </c>
      <c r="Z31" s="97">
        <f t="shared" si="36"/>
        <v>1398.2</v>
      </c>
      <c r="AA31" s="97">
        <f t="shared" si="36"/>
        <v>1161.7</v>
      </c>
      <c r="AB31" s="97">
        <f t="shared" si="36"/>
        <v>949.6</v>
      </c>
      <c r="AC31" s="223">
        <f>+(R31/AB31)^(1/10)-1</f>
        <v>9.5828895595225561E-2</v>
      </c>
    </row>
    <row r="32" spans="1:30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274"/>
      <c r="R32" s="5"/>
      <c r="S32" s="5"/>
      <c r="T32" s="5"/>
      <c r="U32" s="5"/>
      <c r="X32" s="5"/>
      <c r="Y32" s="5"/>
      <c r="Z32" s="5"/>
      <c r="AA32" s="5"/>
      <c r="AB32" s="5"/>
      <c r="AC32" s="5"/>
    </row>
    <row r="33" spans="4:29" x14ac:dyDescent="0.2">
      <c r="D33" s="9"/>
      <c r="E33" s="9"/>
      <c r="F33" s="9"/>
      <c r="G33" s="9"/>
      <c r="H33" s="9"/>
      <c r="I33" s="9"/>
      <c r="J33" s="9"/>
      <c r="K33" s="9"/>
      <c r="L33" s="9"/>
      <c r="M33" s="5"/>
      <c r="N33" s="5"/>
      <c r="O33" s="5"/>
      <c r="P33" s="274"/>
      <c r="R33" s="5"/>
      <c r="S33" s="5"/>
      <c r="T33" s="5"/>
      <c r="U33" s="5"/>
      <c r="X33" s="5"/>
      <c r="Y33" s="5"/>
      <c r="Z33" s="5"/>
      <c r="AA33" s="5"/>
      <c r="AB33" s="5"/>
      <c r="AC33" s="5"/>
    </row>
    <row r="34" spans="4:29" x14ac:dyDescent="0.2">
      <c r="D34" s="9"/>
      <c r="E34" s="9"/>
      <c r="F34" s="9"/>
      <c r="G34" s="9"/>
      <c r="H34" s="9"/>
      <c r="I34" s="9"/>
      <c r="J34" s="9"/>
      <c r="K34" s="9"/>
      <c r="L34" s="9"/>
      <c r="M34" s="5"/>
      <c r="N34" s="5"/>
      <c r="O34" s="5"/>
      <c r="P34" s="274"/>
      <c r="R34" s="5"/>
      <c r="S34" s="5"/>
      <c r="T34" s="5"/>
      <c r="U34" s="5"/>
      <c r="X34" s="5"/>
      <c r="Y34" s="5"/>
      <c r="Z34" s="5"/>
      <c r="AA34" s="5"/>
      <c r="AB34" s="5"/>
      <c r="AC34" s="5"/>
    </row>
    <row r="35" spans="4:29" x14ac:dyDescent="0.2">
      <c r="D35" s="9"/>
      <c r="E35" s="9"/>
      <c r="F35" s="9"/>
      <c r="G35" s="9"/>
      <c r="H35" s="9"/>
      <c r="I35" s="9"/>
      <c r="J35" s="9"/>
      <c r="K35" s="9"/>
      <c r="L35" s="9"/>
      <c r="M35" s="5"/>
      <c r="N35" s="5"/>
      <c r="O35" s="5"/>
      <c r="P35" s="274"/>
      <c r="R35" s="5"/>
      <c r="S35" s="5"/>
      <c r="T35" s="5"/>
      <c r="U35" s="5"/>
      <c r="Y35" s="5"/>
      <c r="Z35" s="5"/>
      <c r="AA35" s="5"/>
      <c r="AB35" s="5"/>
      <c r="AC35" s="5"/>
    </row>
    <row r="36" spans="4:29" x14ac:dyDescent="0.2">
      <c r="D36" s="9"/>
      <c r="E36" s="9"/>
      <c r="F36" s="9"/>
      <c r="G36" s="9"/>
      <c r="H36" s="9"/>
      <c r="I36" s="9"/>
      <c r="J36" s="9"/>
      <c r="K36" s="9"/>
      <c r="L36" s="9"/>
      <c r="M36" s="5"/>
      <c r="N36" s="5"/>
      <c r="O36" s="5"/>
      <c r="P36" s="274"/>
      <c r="R36" s="5"/>
      <c r="S36" s="5"/>
      <c r="T36" s="5"/>
      <c r="U36" s="5"/>
      <c r="Y36" s="5"/>
      <c r="Z36" s="5"/>
      <c r="AA36" s="5"/>
      <c r="AB36" s="5"/>
      <c r="AC36" s="5"/>
    </row>
    <row r="37" spans="4:29" x14ac:dyDescent="0.2">
      <c r="D37" s="9"/>
      <c r="E37" s="9"/>
      <c r="F37" s="9"/>
      <c r="G37" s="9"/>
      <c r="H37" s="9"/>
      <c r="I37" s="9"/>
      <c r="J37" s="9"/>
      <c r="K37" s="9"/>
      <c r="L37" s="9"/>
      <c r="M37" s="5"/>
      <c r="N37" s="5"/>
      <c r="O37" s="5"/>
      <c r="P37" s="274"/>
      <c r="R37" s="5"/>
      <c r="S37" s="5"/>
      <c r="T37" s="5"/>
      <c r="U37" s="5"/>
      <c r="Y37" s="5"/>
      <c r="Z37" s="5"/>
      <c r="AA37" s="5"/>
      <c r="AB37" s="5"/>
      <c r="AC37" s="5"/>
    </row>
    <row r="38" spans="4:29" x14ac:dyDescent="0.2">
      <c r="D38" s="9"/>
      <c r="E38" s="9"/>
      <c r="F38" s="9"/>
      <c r="G38" s="9"/>
      <c r="H38" s="9"/>
      <c r="I38" s="9"/>
      <c r="J38" s="9"/>
      <c r="K38" s="9"/>
      <c r="L38" s="9"/>
      <c r="M38" s="5"/>
      <c r="N38" s="5"/>
      <c r="O38" s="5"/>
      <c r="P38" s="274"/>
      <c r="R38" s="5"/>
      <c r="S38" s="5"/>
      <c r="T38" s="5"/>
      <c r="U38" s="5"/>
      <c r="Y38" s="5"/>
      <c r="Z38" s="5"/>
      <c r="AA38" s="5"/>
      <c r="AB38" s="5"/>
      <c r="AC38" s="5"/>
    </row>
    <row r="39" spans="4:29" x14ac:dyDescent="0.2">
      <c r="D39" s="9"/>
      <c r="E39" s="9"/>
      <c r="F39" s="9"/>
      <c r="G39" s="9"/>
      <c r="H39" s="9"/>
      <c r="I39" s="9"/>
      <c r="J39" s="9"/>
      <c r="K39" s="9"/>
      <c r="L39" s="9"/>
      <c r="M39" s="5"/>
      <c r="N39" s="5"/>
      <c r="O39" s="5"/>
      <c r="P39" s="274"/>
      <c r="R39" s="5"/>
      <c r="S39" s="5"/>
      <c r="T39" s="5"/>
      <c r="U39" s="5"/>
      <c r="Y39" s="5"/>
      <c r="Z39" s="5"/>
      <c r="AA39" s="5"/>
      <c r="AB39" s="5"/>
      <c r="AC39" s="5"/>
    </row>
    <row r="40" spans="4:29" x14ac:dyDescent="0.2">
      <c r="D40" s="9"/>
      <c r="E40" s="9"/>
      <c r="F40" s="9"/>
      <c r="G40" s="9"/>
      <c r="H40" s="9"/>
      <c r="I40" s="9"/>
      <c r="J40" s="9"/>
      <c r="K40" s="9"/>
      <c r="L40" s="9"/>
      <c r="M40" s="5"/>
      <c r="N40" s="5"/>
      <c r="O40" s="5"/>
      <c r="P40" s="274"/>
      <c r="R40" s="5"/>
      <c r="S40" s="5"/>
      <c r="T40" s="5"/>
      <c r="U40" s="5"/>
      <c r="Y40" s="5"/>
      <c r="Z40" s="5"/>
      <c r="AA40" s="5"/>
      <c r="AB40" s="5"/>
      <c r="AC40" s="5"/>
    </row>
    <row r="41" spans="4:29" x14ac:dyDescent="0.2">
      <c r="D41" s="9"/>
      <c r="E41" s="9"/>
      <c r="F41" s="9"/>
      <c r="G41" s="9"/>
      <c r="H41" s="9"/>
      <c r="I41" s="9"/>
      <c r="J41" s="9"/>
      <c r="K41" s="9"/>
      <c r="L41" s="9"/>
      <c r="M41" s="5"/>
      <c r="N41" s="5"/>
      <c r="O41" s="5"/>
      <c r="P41" s="274"/>
      <c r="R41" s="5"/>
      <c r="S41" s="5"/>
      <c r="T41" s="5"/>
      <c r="U41" s="5"/>
      <c r="Y41" s="5"/>
      <c r="Z41" s="5"/>
      <c r="AA41" s="5"/>
      <c r="AB41" s="5"/>
      <c r="AC41" s="5"/>
    </row>
    <row r="42" spans="4:29" x14ac:dyDescent="0.2">
      <c r="D42" s="9"/>
      <c r="E42" s="9"/>
      <c r="F42" s="9"/>
      <c r="G42" s="9"/>
      <c r="H42" s="9"/>
      <c r="I42" s="9"/>
      <c r="J42" s="9"/>
      <c r="K42" s="9"/>
      <c r="L42" s="9"/>
      <c r="M42" s="5"/>
      <c r="N42" s="5"/>
      <c r="O42" s="5"/>
      <c r="P42" s="274"/>
      <c r="R42" s="5"/>
      <c r="S42" s="5"/>
      <c r="T42" s="5"/>
      <c r="U42" s="5"/>
      <c r="Y42" s="5"/>
      <c r="Z42" s="5"/>
      <c r="AA42" s="5"/>
      <c r="AB42" s="5"/>
      <c r="AC42" s="5"/>
    </row>
    <row r="43" spans="4:29" x14ac:dyDescent="0.2">
      <c r="D43" s="9"/>
      <c r="E43" s="9"/>
      <c r="F43" s="9"/>
      <c r="G43" s="9"/>
      <c r="H43" s="9"/>
      <c r="I43" s="9"/>
      <c r="J43" s="9"/>
      <c r="K43" s="9"/>
      <c r="L43" s="9"/>
      <c r="M43" s="5"/>
      <c r="N43" s="5"/>
      <c r="O43" s="5"/>
      <c r="P43" s="274"/>
      <c r="R43" s="5"/>
      <c r="S43" s="5"/>
      <c r="T43" s="5"/>
      <c r="U43" s="5"/>
      <c r="Y43" s="5"/>
      <c r="Z43" s="5"/>
      <c r="AA43" s="5"/>
      <c r="AB43" s="5"/>
      <c r="AC43" s="5"/>
    </row>
    <row r="44" spans="4:29" x14ac:dyDescent="0.2">
      <c r="D44" s="9"/>
      <c r="E44" s="9"/>
      <c r="F44" s="9"/>
      <c r="G44" s="9"/>
      <c r="H44" s="9"/>
      <c r="I44" s="9"/>
      <c r="J44" s="9"/>
      <c r="K44" s="9"/>
      <c r="L44" s="9"/>
      <c r="M44" s="5"/>
      <c r="N44" s="5"/>
      <c r="O44" s="5"/>
      <c r="P44" s="274"/>
      <c r="R44" s="5"/>
      <c r="S44" s="5"/>
      <c r="T44" s="5"/>
      <c r="U44" s="5"/>
      <c r="Y44" s="5"/>
      <c r="Z44" s="5"/>
      <c r="AA44" s="5"/>
      <c r="AB44" s="5"/>
      <c r="AC44" s="5"/>
    </row>
    <row r="45" spans="4:29" x14ac:dyDescent="0.2">
      <c r="D45" s="9"/>
      <c r="E45" s="9"/>
      <c r="F45" s="9"/>
      <c r="G45" s="9"/>
      <c r="H45" s="9"/>
      <c r="I45" s="9"/>
      <c r="J45" s="9"/>
      <c r="K45" s="9"/>
      <c r="L45" s="9"/>
      <c r="M45" s="5"/>
      <c r="N45" s="5"/>
      <c r="O45" s="5"/>
      <c r="P45" s="274"/>
      <c r="R45" s="5"/>
      <c r="S45" s="5"/>
      <c r="T45" s="5"/>
      <c r="U45" s="5"/>
      <c r="Y45" s="5"/>
      <c r="Z45" s="5"/>
      <c r="AA45" s="5"/>
      <c r="AB45" s="5"/>
      <c r="AC45" s="5"/>
    </row>
    <row r="46" spans="4:29" x14ac:dyDescent="0.2">
      <c r="D46" s="9"/>
      <c r="E46" s="9"/>
      <c r="F46" s="9"/>
      <c r="G46" s="9"/>
      <c r="H46" s="9"/>
      <c r="I46" s="9"/>
      <c r="J46" s="9"/>
      <c r="K46" s="9"/>
      <c r="L46" s="9"/>
      <c r="M46" s="5"/>
      <c r="N46" s="5"/>
      <c r="O46" s="5"/>
      <c r="P46" s="274"/>
      <c r="R46" s="5"/>
      <c r="S46" s="5"/>
      <c r="T46" s="5"/>
      <c r="U46" s="5"/>
      <c r="Y46" s="5"/>
      <c r="Z46" s="5"/>
      <c r="AA46" s="5"/>
      <c r="AB46" s="5"/>
      <c r="AC46" s="5"/>
    </row>
  </sheetData>
  <mergeCells count="2">
    <mergeCell ref="R9:AB9"/>
    <mergeCell ref="B9:L9"/>
  </mergeCells>
  <phoneticPr fontId="0" type="noConversion"/>
  <printOptions horizontalCentered="1"/>
  <pageMargins left="0.55000000000000004" right="0.3" top="0.5" bottom="0.25" header="0.4" footer="0.4"/>
  <pageSetup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2EBFF-4960-47F5-889F-0B7563C45137}">
  <dimension ref="A1:Y262"/>
  <sheetViews>
    <sheetView workbookViewId="0">
      <selection activeCell="J15" sqref="J15"/>
    </sheetView>
  </sheetViews>
  <sheetFormatPr defaultRowHeight="12.75" x14ac:dyDescent="0.2"/>
  <cols>
    <col min="1" max="1" width="41.85546875" customWidth="1"/>
    <col min="2" max="2" width="3.28515625" customWidth="1"/>
    <col min="3" max="15" width="7.28515625" customWidth="1"/>
    <col min="16" max="16" width="5.7109375" customWidth="1"/>
    <col min="17" max="17" width="5.85546875" customWidth="1"/>
    <col min="18" max="18" width="5.28515625" customWidth="1"/>
    <col min="19" max="19" width="7.140625" customWidth="1"/>
  </cols>
  <sheetData>
    <row r="1" spans="1:15" x14ac:dyDescent="0.2">
      <c r="A1" s="546" t="s">
        <v>250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</row>
    <row r="2" spans="1:15" x14ac:dyDescent="0.2">
      <c r="A2" s="547" t="s">
        <v>251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</row>
    <row r="3" spans="1:15" ht="14.25" x14ac:dyDescent="0.2">
      <c r="A3" s="547"/>
      <c r="B3" s="547"/>
      <c r="C3" s="548" t="s">
        <v>252</v>
      </c>
      <c r="D3" s="548" t="s">
        <v>253</v>
      </c>
      <c r="E3" s="548" t="s">
        <v>254</v>
      </c>
      <c r="F3" s="548" t="s">
        <v>255</v>
      </c>
      <c r="G3" s="548" t="s">
        <v>256</v>
      </c>
      <c r="H3" s="548" t="s">
        <v>257</v>
      </c>
      <c r="I3" s="548" t="s">
        <v>258</v>
      </c>
      <c r="J3" s="548" t="s">
        <v>259</v>
      </c>
      <c r="K3" s="548" t="s">
        <v>260</v>
      </c>
      <c r="L3" s="548" t="s">
        <v>261</v>
      </c>
      <c r="M3" s="548" t="s">
        <v>262</v>
      </c>
      <c r="N3" s="548" t="s">
        <v>263</v>
      </c>
      <c r="O3" s="548" t="s">
        <v>264</v>
      </c>
    </row>
    <row r="4" spans="1:15" x14ac:dyDescent="0.2">
      <c r="A4" s="549" t="s">
        <v>265</v>
      </c>
      <c r="B4" s="547"/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7"/>
    </row>
    <row r="5" spans="1:15" x14ac:dyDescent="0.2">
      <c r="A5" s="547" t="s">
        <v>266</v>
      </c>
      <c r="B5" s="547"/>
      <c r="C5" s="550">
        <v>0</v>
      </c>
      <c r="D5" s="551">
        <v>-4</v>
      </c>
      <c r="E5" s="551">
        <v>-9</v>
      </c>
      <c r="F5" s="551">
        <v>-13</v>
      </c>
      <c r="G5" s="550">
        <v>0</v>
      </c>
      <c r="H5" s="550">
        <v>0</v>
      </c>
      <c r="I5" s="550">
        <v>0</v>
      </c>
      <c r="J5" s="552">
        <v>0</v>
      </c>
      <c r="K5" s="550">
        <v>0</v>
      </c>
      <c r="L5" s="550">
        <v>0</v>
      </c>
      <c r="M5" s="552">
        <v>0</v>
      </c>
      <c r="N5" s="551">
        <v>-26.9</v>
      </c>
      <c r="O5" s="551">
        <f>-23.4+3.3</f>
        <v>-20.099999999999998</v>
      </c>
    </row>
    <row r="6" spans="1:15" x14ac:dyDescent="0.2">
      <c r="A6" s="547" t="s">
        <v>267</v>
      </c>
      <c r="B6" s="547"/>
      <c r="C6" s="553">
        <v>21</v>
      </c>
      <c r="D6" s="553">
        <v>0</v>
      </c>
      <c r="E6" s="553">
        <v>0</v>
      </c>
      <c r="F6" s="553">
        <v>0</v>
      </c>
      <c r="G6" s="553">
        <v>0</v>
      </c>
      <c r="H6" s="553">
        <v>0</v>
      </c>
      <c r="I6" s="553">
        <v>0</v>
      </c>
      <c r="J6" s="553">
        <v>0</v>
      </c>
      <c r="K6" s="553">
        <v>0</v>
      </c>
      <c r="L6" s="553">
        <v>0</v>
      </c>
      <c r="M6" s="554">
        <v>0</v>
      </c>
      <c r="N6" s="553">
        <v>0</v>
      </c>
      <c r="O6" s="553">
        <v>0</v>
      </c>
    </row>
    <row r="7" spans="1:15" x14ac:dyDescent="0.2">
      <c r="A7" s="547" t="s">
        <v>268</v>
      </c>
      <c r="B7" s="547"/>
      <c r="C7" s="553">
        <v>0</v>
      </c>
      <c r="D7" s="553">
        <v>12</v>
      </c>
      <c r="E7" s="553">
        <v>12</v>
      </c>
      <c r="F7" s="553">
        <v>0</v>
      </c>
      <c r="G7" s="553">
        <v>0</v>
      </c>
      <c r="H7" s="553">
        <v>0</v>
      </c>
      <c r="I7" s="553">
        <v>0</v>
      </c>
      <c r="J7" s="553">
        <v>0</v>
      </c>
      <c r="K7" s="553">
        <v>0</v>
      </c>
      <c r="L7" s="553">
        <v>0</v>
      </c>
      <c r="M7" s="554">
        <v>0</v>
      </c>
      <c r="N7" s="553">
        <v>0</v>
      </c>
      <c r="O7" s="553">
        <v>0</v>
      </c>
    </row>
    <row r="8" spans="1:15" x14ac:dyDescent="0.2">
      <c r="A8" s="547" t="s">
        <v>269</v>
      </c>
      <c r="B8" s="547"/>
      <c r="C8" s="553">
        <v>0</v>
      </c>
      <c r="D8" s="553">
        <v>0</v>
      </c>
      <c r="E8" s="553">
        <v>0</v>
      </c>
      <c r="F8" s="553">
        <v>7</v>
      </c>
      <c r="G8" s="553">
        <v>8</v>
      </c>
      <c r="H8" s="553">
        <v>0</v>
      </c>
      <c r="I8" s="553">
        <v>0</v>
      </c>
      <c r="J8" s="553">
        <v>0</v>
      </c>
      <c r="K8" s="553">
        <v>0</v>
      </c>
      <c r="L8" s="553">
        <v>0</v>
      </c>
      <c r="M8" s="554">
        <v>0</v>
      </c>
      <c r="N8" s="553">
        <v>0</v>
      </c>
      <c r="O8" s="553">
        <v>0</v>
      </c>
    </row>
    <row r="9" spans="1:15" x14ac:dyDescent="0.2">
      <c r="A9" s="547" t="s">
        <v>270</v>
      </c>
      <c r="B9" s="547"/>
      <c r="C9" s="553">
        <v>0</v>
      </c>
      <c r="D9" s="553">
        <v>0</v>
      </c>
      <c r="E9" s="553">
        <v>0</v>
      </c>
      <c r="F9" s="553">
        <v>0</v>
      </c>
      <c r="G9" s="553">
        <v>11</v>
      </c>
      <c r="H9" s="553">
        <v>0</v>
      </c>
      <c r="I9" s="553">
        <v>0</v>
      </c>
      <c r="J9" s="553">
        <v>0</v>
      </c>
      <c r="K9" s="553">
        <v>0</v>
      </c>
      <c r="L9" s="553">
        <v>0</v>
      </c>
      <c r="M9" s="554">
        <v>0</v>
      </c>
      <c r="N9" s="553">
        <v>0</v>
      </c>
      <c r="O9" s="553">
        <v>0</v>
      </c>
    </row>
    <row r="10" spans="1:15" x14ac:dyDescent="0.2">
      <c r="A10" s="547" t="s">
        <v>271</v>
      </c>
      <c r="B10" s="547"/>
      <c r="C10" s="555">
        <v>0</v>
      </c>
      <c r="D10" s="555">
        <v>0</v>
      </c>
      <c r="E10" s="555">
        <v>0</v>
      </c>
      <c r="F10" s="555">
        <v>0</v>
      </c>
      <c r="G10" s="555">
        <v>0</v>
      </c>
      <c r="H10" s="555">
        <v>0</v>
      </c>
      <c r="I10" s="555">
        <v>0</v>
      </c>
      <c r="J10" s="555">
        <v>0</v>
      </c>
      <c r="K10" s="555">
        <v>0</v>
      </c>
      <c r="L10" s="555">
        <v>0</v>
      </c>
      <c r="M10" s="555">
        <v>0</v>
      </c>
      <c r="N10" s="555">
        <v>-6.9</v>
      </c>
      <c r="O10" s="555">
        <v>0</v>
      </c>
    </row>
    <row r="11" spans="1:15" x14ac:dyDescent="0.2">
      <c r="A11" s="547" t="s">
        <v>272</v>
      </c>
      <c r="B11" s="547"/>
      <c r="C11" s="555">
        <v>0</v>
      </c>
      <c r="D11" s="555">
        <v>0</v>
      </c>
      <c r="E11" s="555">
        <v>145</v>
      </c>
      <c r="F11" s="555">
        <v>10</v>
      </c>
      <c r="G11" s="555">
        <v>0</v>
      </c>
      <c r="H11" s="555">
        <v>0</v>
      </c>
      <c r="I11" s="555">
        <v>0</v>
      </c>
      <c r="J11" s="555">
        <v>0</v>
      </c>
      <c r="K11" s="555">
        <v>66.8</v>
      </c>
      <c r="L11" s="555">
        <v>0</v>
      </c>
      <c r="M11" s="555">
        <v>5.5</v>
      </c>
      <c r="N11" s="555">
        <v>3.7</v>
      </c>
      <c r="O11" s="555">
        <v>4.5999999999999996</v>
      </c>
    </row>
    <row r="12" spans="1:15" x14ac:dyDescent="0.2">
      <c r="A12" s="547" t="s">
        <v>273</v>
      </c>
      <c r="B12" s="547"/>
      <c r="C12" s="555">
        <v>0</v>
      </c>
      <c r="D12" s="555">
        <v>0</v>
      </c>
      <c r="E12" s="555">
        <v>0</v>
      </c>
      <c r="F12" s="555">
        <v>0</v>
      </c>
      <c r="G12" s="555">
        <v>0</v>
      </c>
      <c r="H12" s="555">
        <v>0</v>
      </c>
      <c r="I12" s="555">
        <v>0</v>
      </c>
      <c r="J12" s="555">
        <v>0</v>
      </c>
      <c r="K12" s="555">
        <v>0</v>
      </c>
      <c r="L12" s="555">
        <v>0</v>
      </c>
      <c r="M12" s="555">
        <v>12.1</v>
      </c>
      <c r="N12" s="555">
        <v>0</v>
      </c>
      <c r="O12" s="555">
        <v>15.3</v>
      </c>
    </row>
    <row r="13" spans="1:15" x14ac:dyDescent="0.2">
      <c r="A13" s="547" t="s">
        <v>274</v>
      </c>
      <c r="B13" s="547"/>
      <c r="C13" s="555">
        <v>0</v>
      </c>
      <c r="D13" s="555">
        <v>0</v>
      </c>
      <c r="E13" s="555">
        <v>0</v>
      </c>
      <c r="F13" s="555">
        <v>0</v>
      </c>
      <c r="G13" s="555">
        <v>0</v>
      </c>
      <c r="H13" s="555">
        <v>0</v>
      </c>
      <c r="I13" s="555">
        <v>0</v>
      </c>
      <c r="J13" s="555">
        <v>0</v>
      </c>
      <c r="K13" s="555">
        <v>0</v>
      </c>
      <c r="L13" s="555">
        <v>53.5</v>
      </c>
      <c r="M13" s="555">
        <v>5.5</v>
      </c>
      <c r="N13" s="555">
        <v>0</v>
      </c>
      <c r="O13" s="555">
        <v>0</v>
      </c>
    </row>
    <row r="14" spans="1:15" x14ac:dyDescent="0.2">
      <c r="A14" s="547" t="s">
        <v>275</v>
      </c>
      <c r="B14" s="547"/>
      <c r="C14" s="555">
        <v>0</v>
      </c>
      <c r="D14" s="555">
        <v>0</v>
      </c>
      <c r="E14" s="555">
        <v>0</v>
      </c>
      <c r="F14" s="555">
        <v>0</v>
      </c>
      <c r="G14" s="555">
        <v>0</v>
      </c>
      <c r="H14" s="555">
        <v>0</v>
      </c>
      <c r="I14" s="555">
        <v>0</v>
      </c>
      <c r="J14" s="555">
        <v>0</v>
      </c>
      <c r="K14" s="555">
        <v>-8.6999999999999993</v>
      </c>
      <c r="L14" s="555">
        <v>0</v>
      </c>
      <c r="M14" s="555">
        <v>0</v>
      </c>
      <c r="N14" s="555">
        <v>0</v>
      </c>
      <c r="O14" s="555">
        <v>0</v>
      </c>
    </row>
    <row r="15" spans="1:15" x14ac:dyDescent="0.2">
      <c r="A15" s="547" t="s">
        <v>276</v>
      </c>
      <c r="B15" s="547"/>
      <c r="C15" s="556">
        <v>44</v>
      </c>
      <c r="D15" s="556">
        <v>18</v>
      </c>
      <c r="E15" s="556">
        <v>24</v>
      </c>
      <c r="F15" s="556">
        <v>34</v>
      </c>
      <c r="G15" s="556">
        <v>0</v>
      </c>
      <c r="H15" s="556">
        <v>0</v>
      </c>
      <c r="I15" s="557">
        <v>14.9</v>
      </c>
      <c r="J15" s="557">
        <v>0</v>
      </c>
      <c r="K15" s="557">
        <v>0</v>
      </c>
      <c r="L15" s="557">
        <v>0</v>
      </c>
      <c r="M15" s="557">
        <v>0</v>
      </c>
      <c r="N15" s="557">
        <v>0</v>
      </c>
      <c r="O15" s="557">
        <v>0</v>
      </c>
    </row>
    <row r="16" spans="1:15" x14ac:dyDescent="0.2">
      <c r="A16" s="558" t="s">
        <v>277</v>
      </c>
      <c r="B16" s="547"/>
      <c r="C16" s="559">
        <f t="shared" ref="C16:H16" si="0">SUM(C5:C15)</f>
        <v>65</v>
      </c>
      <c r="D16" s="559">
        <f t="shared" si="0"/>
        <v>26</v>
      </c>
      <c r="E16" s="559">
        <f t="shared" si="0"/>
        <v>172</v>
      </c>
      <c r="F16" s="559">
        <f t="shared" si="0"/>
        <v>38</v>
      </c>
      <c r="G16" s="559">
        <f t="shared" si="0"/>
        <v>19</v>
      </c>
      <c r="H16" s="559">
        <f t="shared" si="0"/>
        <v>0</v>
      </c>
      <c r="I16" s="560">
        <f>SUM(I5:I15)</f>
        <v>14.9</v>
      </c>
      <c r="J16" s="560">
        <v>0</v>
      </c>
      <c r="K16" s="561">
        <f>SUM(K5:K15)</f>
        <v>58.099999999999994</v>
      </c>
      <c r="L16" s="561">
        <f t="shared" ref="L16:O16" si="1">SUM(L5:L15)</f>
        <v>53.5</v>
      </c>
      <c r="M16" s="561">
        <f t="shared" si="1"/>
        <v>23.1</v>
      </c>
      <c r="N16" s="561">
        <f t="shared" si="1"/>
        <v>-30.099999999999998</v>
      </c>
      <c r="O16" s="561">
        <f t="shared" si="1"/>
        <v>-0.19999999999999751</v>
      </c>
    </row>
    <row r="17" spans="1:25" x14ac:dyDescent="0.2">
      <c r="A17" s="547" t="s">
        <v>278</v>
      </c>
      <c r="B17" s="547"/>
      <c r="C17" s="562">
        <v>-22</v>
      </c>
      <c r="D17" s="562">
        <v>-8</v>
      </c>
      <c r="E17" s="562">
        <v>-28</v>
      </c>
      <c r="F17" s="562">
        <v>-14</v>
      </c>
      <c r="G17" s="562">
        <v>-6</v>
      </c>
      <c r="H17" s="562">
        <v>0</v>
      </c>
      <c r="I17" s="562">
        <v>-5</v>
      </c>
      <c r="J17" s="562">
        <v>0</v>
      </c>
      <c r="K17" s="555">
        <v>-21</v>
      </c>
      <c r="L17" s="555">
        <v>-21</v>
      </c>
      <c r="M17" s="555">
        <v>-8.5</v>
      </c>
      <c r="N17" s="555">
        <v>11.9</v>
      </c>
      <c r="O17" s="555">
        <f>-2.8+2.5</f>
        <v>-0.29999999999999982</v>
      </c>
    </row>
    <row r="18" spans="1:25" x14ac:dyDescent="0.2">
      <c r="A18" s="547" t="s">
        <v>279</v>
      </c>
      <c r="B18" s="547"/>
      <c r="C18" s="563">
        <v>-10</v>
      </c>
      <c r="D18" s="563">
        <v>-11</v>
      </c>
      <c r="E18" s="563">
        <v>13</v>
      </c>
      <c r="F18" s="563">
        <v>-1</v>
      </c>
      <c r="G18" s="563">
        <v>6</v>
      </c>
      <c r="H18" s="563">
        <v>0</v>
      </c>
      <c r="I18" s="563">
        <v>0</v>
      </c>
      <c r="J18" s="564">
        <v>-27</v>
      </c>
      <c r="K18" s="556">
        <v>0</v>
      </c>
      <c r="L18" s="556">
        <v>0</v>
      </c>
      <c r="M18" s="556">
        <v>0</v>
      </c>
      <c r="N18" s="556">
        <v>0</v>
      </c>
      <c r="O18" s="556">
        <f>-5.7-1.9+50.4</f>
        <v>42.8</v>
      </c>
    </row>
    <row r="19" spans="1:25" ht="13.5" thickBot="1" x14ac:dyDescent="0.25">
      <c r="A19" s="558" t="s">
        <v>280</v>
      </c>
      <c r="B19" s="547"/>
      <c r="C19" s="565">
        <f>SUM(C16:C18)</f>
        <v>33</v>
      </c>
      <c r="D19" s="565">
        <f t="shared" ref="D19:O19" si="2">SUM(D16:D18)</f>
        <v>7</v>
      </c>
      <c r="E19" s="566">
        <f t="shared" si="2"/>
        <v>157</v>
      </c>
      <c r="F19" s="566">
        <f t="shared" si="2"/>
        <v>23</v>
      </c>
      <c r="G19" s="565">
        <f t="shared" si="2"/>
        <v>19</v>
      </c>
      <c r="H19" s="565">
        <f t="shared" si="2"/>
        <v>0</v>
      </c>
      <c r="I19" s="565">
        <f t="shared" si="2"/>
        <v>9.9</v>
      </c>
      <c r="J19" s="565">
        <f t="shared" si="2"/>
        <v>-27</v>
      </c>
      <c r="K19" s="565">
        <f t="shared" si="2"/>
        <v>37.099999999999994</v>
      </c>
      <c r="L19" s="565">
        <f t="shared" si="2"/>
        <v>32.5</v>
      </c>
      <c r="M19" s="565">
        <f t="shared" si="2"/>
        <v>14.600000000000001</v>
      </c>
      <c r="N19" s="565">
        <f t="shared" si="2"/>
        <v>-18.199999999999996</v>
      </c>
      <c r="O19" s="565">
        <f t="shared" si="2"/>
        <v>42.3</v>
      </c>
    </row>
    <row r="20" spans="1:25" ht="13.5" thickTop="1" x14ac:dyDescent="0.2">
      <c r="A20" s="558"/>
      <c r="B20" s="547"/>
      <c r="C20" s="567"/>
      <c r="D20" s="567"/>
      <c r="E20" s="567"/>
      <c r="F20" s="567"/>
      <c r="G20" s="567"/>
      <c r="H20" s="567"/>
      <c r="I20" s="567"/>
      <c r="J20" s="567"/>
      <c r="K20" s="567"/>
      <c r="L20" s="567"/>
      <c r="M20" s="567"/>
      <c r="N20" s="567"/>
      <c r="O20" s="567"/>
    </row>
    <row r="21" spans="1:25" x14ac:dyDescent="0.2">
      <c r="A21" s="547" t="s">
        <v>281</v>
      </c>
      <c r="B21" s="547"/>
      <c r="C21" s="568">
        <v>193.6</v>
      </c>
      <c r="D21" s="568">
        <v>186.8</v>
      </c>
      <c r="E21" s="568">
        <v>179.8</v>
      </c>
      <c r="F21" s="568">
        <v>168.2</v>
      </c>
      <c r="G21" s="568">
        <v>160</v>
      </c>
      <c r="H21" s="568">
        <v>153.30000000000001</v>
      </c>
      <c r="I21" s="568">
        <v>147</v>
      </c>
      <c r="J21" s="568">
        <v>146</v>
      </c>
      <c r="K21" s="569">
        <v>147.19999999999999</v>
      </c>
      <c r="L21" s="569">
        <v>143.19999999999999</v>
      </c>
      <c r="M21" s="569">
        <v>142.9</v>
      </c>
      <c r="N21" s="569">
        <v>140</v>
      </c>
      <c r="O21" s="569">
        <v>137.30000000000001</v>
      </c>
    </row>
    <row r="22" spans="1:25" x14ac:dyDescent="0.2">
      <c r="A22" s="558" t="s">
        <v>282</v>
      </c>
      <c r="B22" s="547"/>
      <c r="C22" s="570">
        <f t="shared" ref="C22:J22" si="3">+C19/C21</f>
        <v>0.17045454545454547</v>
      </c>
      <c r="D22" s="570">
        <f t="shared" si="3"/>
        <v>3.7473233404710919E-2</v>
      </c>
      <c r="E22" s="570">
        <f t="shared" si="3"/>
        <v>0.87319243604004448</v>
      </c>
      <c r="F22" s="570">
        <f t="shared" si="3"/>
        <v>0.13674197384066589</v>
      </c>
      <c r="G22" s="570">
        <f t="shared" si="3"/>
        <v>0.11874999999999999</v>
      </c>
      <c r="H22" s="570">
        <f t="shared" si="3"/>
        <v>0</v>
      </c>
      <c r="I22" s="570">
        <f t="shared" si="3"/>
        <v>6.7346938775510207E-2</v>
      </c>
      <c r="J22" s="570">
        <f t="shared" si="3"/>
        <v>-0.18493150684931506</v>
      </c>
      <c r="K22" s="570">
        <v>0.25</v>
      </c>
      <c r="L22" s="570">
        <f t="shared" ref="L22" si="4">+L19/L21</f>
        <v>0.22695530726256985</v>
      </c>
      <c r="M22" s="570">
        <v>0.09</v>
      </c>
      <c r="N22" s="570">
        <f>+N19/N21</f>
        <v>-0.12999999999999998</v>
      </c>
      <c r="O22" s="570">
        <v>0.32</v>
      </c>
    </row>
    <row r="23" spans="1:25" x14ac:dyDescent="0.2">
      <c r="A23" s="558"/>
      <c r="B23" s="547"/>
      <c r="C23" s="570"/>
      <c r="D23" s="570"/>
      <c r="E23" s="570"/>
      <c r="F23" s="570"/>
      <c r="G23" s="570"/>
      <c r="H23" s="570"/>
      <c r="I23" s="570"/>
      <c r="J23" s="570"/>
      <c r="K23" s="570"/>
      <c r="L23" s="570"/>
      <c r="M23" s="570"/>
      <c r="N23" s="570"/>
      <c r="O23" s="547"/>
    </row>
    <row r="24" spans="1:25" x14ac:dyDescent="0.2">
      <c r="A24" s="547"/>
      <c r="B24" s="547"/>
      <c r="C24" s="547"/>
      <c r="D24" s="547"/>
      <c r="E24" s="547"/>
      <c r="F24" s="547"/>
      <c r="G24" s="547"/>
      <c r="H24" s="547"/>
      <c r="I24" s="547"/>
      <c r="J24" s="547"/>
      <c r="K24" s="547"/>
      <c r="L24" s="547"/>
      <c r="M24" s="547"/>
      <c r="N24" s="547"/>
      <c r="O24" s="547"/>
    </row>
    <row r="25" spans="1:25" ht="15" customHeight="1" x14ac:dyDescent="0.2">
      <c r="A25" s="571" t="s">
        <v>283</v>
      </c>
      <c r="B25" s="571"/>
      <c r="C25" s="571"/>
      <c r="D25" s="571"/>
      <c r="E25" s="571"/>
      <c r="F25" s="571"/>
      <c r="G25" s="571"/>
      <c r="H25" s="571"/>
      <c r="I25" s="571"/>
      <c r="J25" s="571"/>
      <c r="K25" s="571"/>
      <c r="L25" s="571"/>
      <c r="M25" s="571"/>
      <c r="N25" s="571"/>
      <c r="O25" s="571"/>
      <c r="P25" s="571"/>
      <c r="Q25" s="571"/>
      <c r="R25" s="571"/>
      <c r="S25" s="571"/>
      <c r="T25" s="571"/>
      <c r="U25" s="571"/>
      <c r="V25" s="571"/>
      <c r="W25" s="571"/>
      <c r="X25" s="571"/>
      <c r="Y25" s="571"/>
    </row>
    <row r="26" spans="1:25" ht="15" customHeight="1" x14ac:dyDescent="0.2">
      <c r="A26" s="571" t="s">
        <v>284</v>
      </c>
      <c r="B26" s="571"/>
      <c r="C26" s="571"/>
      <c r="D26" s="571"/>
      <c r="E26" s="571"/>
      <c r="F26" s="571"/>
      <c r="G26" s="571"/>
      <c r="H26" s="571"/>
      <c r="I26" s="571"/>
      <c r="J26" s="571"/>
      <c r="K26" s="571"/>
      <c r="L26" s="571"/>
      <c r="M26" s="571"/>
      <c r="N26" s="571"/>
      <c r="O26" s="571"/>
      <c r="P26" s="571"/>
      <c r="Q26" s="571"/>
      <c r="R26" s="571"/>
      <c r="S26" s="571"/>
      <c r="T26" s="571"/>
      <c r="U26" s="571"/>
      <c r="V26" s="571"/>
      <c r="W26" s="571"/>
      <c r="X26" s="571"/>
      <c r="Y26" s="571"/>
    </row>
    <row r="27" spans="1:25" ht="15" customHeight="1" x14ac:dyDescent="0.2">
      <c r="A27" s="572" t="s">
        <v>285</v>
      </c>
      <c r="B27" s="571"/>
      <c r="C27" s="571"/>
      <c r="D27" s="571"/>
      <c r="E27" s="571"/>
      <c r="F27" s="571"/>
      <c r="G27" s="571"/>
      <c r="H27" s="571"/>
      <c r="I27" s="571"/>
      <c r="J27" s="571"/>
      <c r="K27" s="571"/>
      <c r="L27" s="571"/>
      <c r="M27" s="571"/>
      <c r="N27" s="571"/>
      <c r="O27" s="571"/>
      <c r="P27" s="571"/>
      <c r="Q27" s="571"/>
      <c r="R27" s="571"/>
      <c r="S27" s="571"/>
      <c r="T27" s="571"/>
      <c r="U27" s="571"/>
      <c r="V27" s="571"/>
      <c r="W27" s="571"/>
      <c r="X27" s="571"/>
      <c r="Y27" s="571"/>
    </row>
    <row r="28" spans="1:25" ht="14.25" x14ac:dyDescent="0.2">
      <c r="A28" s="572" t="s">
        <v>286</v>
      </c>
      <c r="B28" s="572"/>
      <c r="C28" s="572"/>
      <c r="D28" s="572"/>
      <c r="E28" s="572"/>
      <c r="F28" s="572"/>
      <c r="G28" s="572"/>
      <c r="H28" s="572"/>
      <c r="I28" s="572"/>
      <c r="J28" s="572"/>
      <c r="K28" s="572"/>
      <c r="L28" s="572"/>
      <c r="M28" s="572"/>
      <c r="N28" s="572"/>
      <c r="O28" s="572"/>
      <c r="P28" s="572"/>
      <c r="Q28" s="572"/>
      <c r="R28" s="572"/>
      <c r="S28" s="572"/>
      <c r="T28" s="572"/>
      <c r="U28" s="572"/>
      <c r="V28" s="572"/>
      <c r="W28" s="572"/>
      <c r="X28" s="572"/>
      <c r="Y28" s="572"/>
    </row>
    <row r="29" spans="1:25" ht="14.25" x14ac:dyDescent="0.2">
      <c r="A29" s="572" t="s">
        <v>287</v>
      </c>
      <c r="B29" s="572"/>
      <c r="C29" s="572"/>
      <c r="D29" s="572"/>
      <c r="E29" s="572"/>
      <c r="F29" s="572"/>
      <c r="G29" s="572"/>
      <c r="H29" s="572"/>
      <c r="I29" s="572"/>
      <c r="J29" s="572"/>
      <c r="K29" s="572"/>
      <c r="L29" s="572"/>
      <c r="M29" s="572"/>
      <c r="N29" s="572"/>
      <c r="O29" s="572"/>
      <c r="P29" s="572"/>
      <c r="Q29" s="572"/>
      <c r="R29" s="572"/>
      <c r="S29" s="572"/>
      <c r="T29" s="572"/>
      <c r="U29" s="572"/>
      <c r="V29" s="572"/>
      <c r="W29" s="572"/>
      <c r="X29" s="572"/>
      <c r="Y29" s="572"/>
    </row>
    <row r="30" spans="1:25" ht="14.25" x14ac:dyDescent="0.2">
      <c r="A30" s="547" t="s">
        <v>288</v>
      </c>
    </row>
    <row r="31" spans="1:25" ht="14.25" x14ac:dyDescent="0.2">
      <c r="A31" s="547" t="s">
        <v>289</v>
      </c>
    </row>
    <row r="32" spans="1:25" ht="14.25" x14ac:dyDescent="0.2">
      <c r="A32" s="547" t="s">
        <v>290</v>
      </c>
    </row>
    <row r="33" spans="1:14" x14ac:dyDescent="0.2">
      <c r="A33" s="547" t="s">
        <v>291</v>
      </c>
    </row>
    <row r="34" spans="1:14" ht="14.25" x14ac:dyDescent="0.2">
      <c r="A34" s="547" t="s">
        <v>292</v>
      </c>
    </row>
    <row r="35" spans="1:14" x14ac:dyDescent="0.2">
      <c r="A35" s="547" t="s">
        <v>293</v>
      </c>
    </row>
    <row r="36" spans="1:14" ht="14.25" x14ac:dyDescent="0.2">
      <c r="A36" s="547" t="s">
        <v>294</v>
      </c>
      <c r="B36" s="547"/>
      <c r="C36" s="564"/>
      <c r="D36" s="564"/>
      <c r="E36" s="564"/>
      <c r="F36" s="564"/>
      <c r="G36" s="564"/>
      <c r="H36" s="573"/>
      <c r="I36" s="573"/>
      <c r="J36" s="547"/>
      <c r="K36" s="547"/>
      <c r="L36" s="547"/>
      <c r="M36" s="547"/>
      <c r="N36" s="547"/>
    </row>
    <row r="37" spans="1:14" x14ac:dyDescent="0.2">
      <c r="A37" s="547" t="s">
        <v>295</v>
      </c>
      <c r="B37" s="547"/>
      <c r="C37" s="564"/>
      <c r="D37" s="564"/>
      <c r="E37" s="564"/>
      <c r="F37" s="564"/>
      <c r="G37" s="564"/>
      <c r="H37" s="573"/>
      <c r="I37" s="573"/>
      <c r="J37" s="547"/>
      <c r="K37" s="547"/>
      <c r="L37" s="547"/>
      <c r="M37" s="547"/>
      <c r="N37" s="547"/>
    </row>
    <row r="38" spans="1:14" x14ac:dyDescent="0.2">
      <c r="A38" s="547" t="s">
        <v>296</v>
      </c>
      <c r="B38" s="547"/>
      <c r="C38" s="564"/>
      <c r="D38" s="564"/>
      <c r="E38" s="564"/>
      <c r="F38" s="564"/>
      <c r="G38" s="564"/>
      <c r="H38" s="573"/>
      <c r="I38" s="573"/>
      <c r="J38" s="547"/>
      <c r="K38" s="547"/>
      <c r="L38" s="547"/>
      <c r="M38" s="547"/>
      <c r="N38" s="547"/>
    </row>
    <row r="39" spans="1:14" x14ac:dyDescent="0.2">
      <c r="A39" s="558"/>
      <c r="B39" s="547"/>
      <c r="C39" s="567"/>
      <c r="D39" s="567"/>
      <c r="E39" s="567"/>
      <c r="F39" s="567"/>
      <c r="G39" s="567"/>
      <c r="H39" s="573"/>
      <c r="I39" s="573"/>
      <c r="J39" s="547"/>
      <c r="K39" s="547"/>
      <c r="L39" s="547"/>
      <c r="M39" s="547"/>
      <c r="N39" s="547"/>
    </row>
    <row r="40" spans="1:14" x14ac:dyDescent="0.2">
      <c r="A40" s="558"/>
      <c r="B40" s="547"/>
      <c r="C40" s="567"/>
      <c r="D40" s="567"/>
      <c r="E40" s="567"/>
      <c r="F40" s="567"/>
      <c r="G40" s="567"/>
      <c r="H40" s="573"/>
      <c r="I40" s="573"/>
      <c r="J40" s="547"/>
      <c r="K40" s="547"/>
      <c r="L40" s="547"/>
      <c r="M40" s="547"/>
      <c r="N40" s="547"/>
    </row>
    <row r="41" spans="1:14" x14ac:dyDescent="0.2">
      <c r="A41" s="547"/>
      <c r="B41" s="547"/>
      <c r="C41" s="568"/>
      <c r="D41" s="574"/>
      <c r="E41" s="574"/>
      <c r="F41" s="574"/>
      <c r="G41" s="574"/>
      <c r="H41" s="573"/>
      <c r="I41" s="573"/>
      <c r="J41" s="547"/>
      <c r="K41" s="547"/>
      <c r="L41" s="547"/>
      <c r="M41" s="547"/>
      <c r="N41" s="547"/>
    </row>
    <row r="42" spans="1:14" x14ac:dyDescent="0.2">
      <c r="A42" s="558"/>
      <c r="B42" s="547"/>
      <c r="C42" s="575"/>
      <c r="D42" s="575"/>
      <c r="E42" s="575"/>
      <c r="F42" s="575"/>
      <c r="G42" s="575"/>
      <c r="H42" s="547"/>
      <c r="I42" s="547"/>
      <c r="J42" s="547"/>
      <c r="K42" s="547"/>
      <c r="L42" s="547"/>
      <c r="M42" s="547"/>
      <c r="N42" s="547"/>
    </row>
    <row r="43" spans="1:14" x14ac:dyDescent="0.2">
      <c r="A43" s="547"/>
      <c r="B43" s="547"/>
      <c r="C43" s="547"/>
      <c r="D43" s="547"/>
      <c r="E43" s="547"/>
      <c r="F43" s="547"/>
      <c r="G43" s="547"/>
      <c r="H43" s="547"/>
      <c r="I43" s="547"/>
      <c r="J43" s="547"/>
      <c r="K43" s="547"/>
      <c r="L43" s="547"/>
      <c r="M43" s="547"/>
      <c r="N43" s="547"/>
    </row>
    <row r="44" spans="1:14" x14ac:dyDescent="0.2">
      <c r="A44" s="547"/>
      <c r="B44" s="547"/>
      <c r="C44" s="547"/>
      <c r="D44" s="547"/>
      <c r="E44" s="547"/>
      <c r="F44" s="547"/>
      <c r="G44" s="547"/>
      <c r="H44" s="547"/>
      <c r="I44" s="547"/>
      <c r="J44" s="547"/>
      <c r="K44" s="547"/>
      <c r="L44" s="547"/>
      <c r="M44" s="547"/>
      <c r="N44" s="547"/>
    </row>
    <row r="45" spans="1:14" x14ac:dyDescent="0.2">
      <c r="A45" s="547"/>
      <c r="B45" s="547"/>
      <c r="C45" s="547"/>
      <c r="D45" s="547"/>
      <c r="E45" s="547"/>
      <c r="F45" s="547"/>
      <c r="G45" s="547"/>
      <c r="H45" s="547"/>
      <c r="I45" s="547"/>
      <c r="J45" s="547"/>
      <c r="K45" s="547"/>
      <c r="L45" s="547"/>
      <c r="M45" s="547"/>
      <c r="N45" s="547"/>
    </row>
    <row r="46" spans="1:14" x14ac:dyDescent="0.2">
      <c r="A46" s="547"/>
      <c r="B46" s="547"/>
      <c r="C46" s="547"/>
      <c r="D46" s="547"/>
      <c r="E46" s="547"/>
      <c r="F46" s="547"/>
      <c r="G46" s="547"/>
      <c r="H46" s="547"/>
      <c r="I46" s="547"/>
      <c r="J46" s="547"/>
      <c r="K46" s="547"/>
      <c r="L46" s="547"/>
      <c r="M46" s="547"/>
      <c r="N46" s="547"/>
    </row>
    <row r="47" spans="1:14" x14ac:dyDescent="0.2">
      <c r="A47" s="547"/>
      <c r="B47" s="547"/>
      <c r="C47" s="547"/>
      <c r="D47" s="547"/>
      <c r="E47" s="547"/>
      <c r="F47" s="547"/>
      <c r="G47" s="547"/>
      <c r="H47" s="547"/>
      <c r="I47" s="547"/>
      <c r="J47" s="547"/>
      <c r="K47" s="547"/>
      <c r="L47" s="547"/>
      <c r="M47" s="547"/>
      <c r="N47" s="547"/>
    </row>
    <row r="48" spans="1:14" x14ac:dyDescent="0.2">
      <c r="A48" s="547"/>
      <c r="B48" s="547"/>
      <c r="C48" s="547"/>
      <c r="D48" s="547"/>
      <c r="E48" s="547"/>
      <c r="F48" s="547"/>
      <c r="G48" s="547"/>
      <c r="H48" s="547"/>
      <c r="I48" s="547"/>
      <c r="J48" s="547"/>
      <c r="K48" s="547"/>
      <c r="L48" s="547"/>
      <c r="M48" s="547"/>
      <c r="N48" s="547"/>
    </row>
    <row r="49" spans="1:14" x14ac:dyDescent="0.2">
      <c r="A49" s="547"/>
      <c r="B49" s="547"/>
      <c r="C49" s="547"/>
      <c r="D49" s="547"/>
      <c r="E49" s="547"/>
      <c r="F49" s="547"/>
      <c r="G49" s="547"/>
      <c r="H49" s="547"/>
      <c r="I49" s="547"/>
      <c r="J49" s="547"/>
      <c r="K49" s="547"/>
      <c r="L49" s="547"/>
      <c r="M49" s="547"/>
      <c r="N49" s="547"/>
    </row>
    <row r="50" spans="1:14" x14ac:dyDescent="0.2">
      <c r="A50" s="547"/>
      <c r="B50" s="547"/>
      <c r="C50" s="547"/>
      <c r="D50" s="547"/>
      <c r="E50" s="547"/>
      <c r="F50" s="547"/>
      <c r="G50" s="547"/>
      <c r="H50" s="547"/>
      <c r="I50" s="547"/>
      <c r="J50" s="547"/>
      <c r="K50" s="547"/>
      <c r="L50" s="547"/>
      <c r="M50" s="547"/>
      <c r="N50" s="547"/>
    </row>
    <row r="51" spans="1:14" x14ac:dyDescent="0.2">
      <c r="A51" s="547"/>
      <c r="B51" s="547"/>
      <c r="C51" s="547"/>
      <c r="D51" s="547"/>
      <c r="E51" s="547"/>
      <c r="F51" s="547"/>
      <c r="G51" s="547"/>
      <c r="H51" s="547"/>
      <c r="I51" s="547"/>
      <c r="J51" s="547"/>
      <c r="K51" s="547"/>
      <c r="L51" s="547"/>
      <c r="M51" s="547"/>
      <c r="N51" s="547"/>
    </row>
    <row r="52" spans="1:14" x14ac:dyDescent="0.2">
      <c r="A52" s="547"/>
      <c r="B52" s="547"/>
      <c r="C52" s="547"/>
      <c r="D52" s="547"/>
      <c r="E52" s="547"/>
      <c r="F52" s="547"/>
      <c r="G52" s="547"/>
      <c r="H52" s="547"/>
      <c r="I52" s="547"/>
      <c r="J52" s="547"/>
      <c r="K52" s="547"/>
      <c r="L52" s="547"/>
      <c r="M52" s="547"/>
      <c r="N52" s="547"/>
    </row>
    <row r="53" spans="1:14" x14ac:dyDescent="0.2">
      <c r="A53" s="547"/>
      <c r="B53" s="547"/>
      <c r="C53" s="547"/>
      <c r="D53" s="547"/>
      <c r="E53" s="547"/>
      <c r="F53" s="547"/>
      <c r="G53" s="547"/>
      <c r="H53" s="547"/>
      <c r="I53" s="547"/>
      <c r="J53" s="547"/>
      <c r="K53" s="547"/>
      <c r="L53" s="547"/>
      <c r="M53" s="547"/>
      <c r="N53" s="547"/>
    </row>
    <row r="54" spans="1:14" x14ac:dyDescent="0.2">
      <c r="A54" s="547"/>
      <c r="B54" s="547"/>
      <c r="C54" s="547"/>
      <c r="D54" s="547"/>
      <c r="E54" s="547"/>
      <c r="F54" s="547"/>
      <c r="G54" s="547"/>
      <c r="H54" s="547"/>
      <c r="I54" s="547"/>
      <c r="J54" s="547"/>
      <c r="K54" s="547"/>
      <c r="L54" s="547"/>
      <c r="M54" s="547"/>
      <c r="N54" s="547"/>
    </row>
    <row r="55" spans="1:14" x14ac:dyDescent="0.2">
      <c r="A55" s="547"/>
      <c r="B55" s="547"/>
      <c r="C55" s="547"/>
      <c r="D55" s="547"/>
      <c r="E55" s="547"/>
      <c r="F55" s="547"/>
      <c r="G55" s="547"/>
      <c r="H55" s="547"/>
      <c r="I55" s="547"/>
      <c r="J55" s="547"/>
      <c r="K55" s="547"/>
      <c r="L55" s="547"/>
      <c r="M55" s="547"/>
      <c r="N55" s="547"/>
    </row>
    <row r="56" spans="1:14" x14ac:dyDescent="0.2">
      <c r="A56" s="547"/>
      <c r="B56" s="547"/>
      <c r="C56" s="547"/>
      <c r="D56" s="547"/>
      <c r="E56" s="547"/>
      <c r="F56" s="547"/>
      <c r="G56" s="547"/>
      <c r="H56" s="547"/>
      <c r="I56" s="547"/>
      <c r="J56" s="547"/>
      <c r="K56" s="547"/>
      <c r="L56" s="547"/>
      <c r="M56" s="547"/>
      <c r="N56" s="547"/>
    </row>
    <row r="57" spans="1:14" x14ac:dyDescent="0.2">
      <c r="A57" s="547"/>
      <c r="B57" s="547"/>
      <c r="C57" s="547"/>
      <c r="D57" s="547"/>
      <c r="E57" s="547"/>
      <c r="F57" s="547"/>
      <c r="G57" s="547"/>
      <c r="H57" s="547"/>
      <c r="I57" s="547"/>
      <c r="J57" s="547"/>
      <c r="K57" s="547"/>
      <c r="L57" s="547"/>
      <c r="M57" s="547"/>
      <c r="N57" s="547"/>
    </row>
    <row r="58" spans="1:14" x14ac:dyDescent="0.2">
      <c r="A58" s="547"/>
      <c r="B58" s="547"/>
      <c r="C58" s="547"/>
      <c r="D58" s="547"/>
      <c r="E58" s="547"/>
      <c r="F58" s="547"/>
      <c r="G58" s="547"/>
      <c r="H58" s="547"/>
      <c r="I58" s="547"/>
      <c r="J58" s="547"/>
      <c r="K58" s="547"/>
      <c r="L58" s="547"/>
      <c r="M58" s="547"/>
      <c r="N58" s="547"/>
    </row>
    <row r="59" spans="1:14" x14ac:dyDescent="0.2">
      <c r="A59" s="547"/>
      <c r="B59" s="547"/>
      <c r="C59" s="547"/>
      <c r="D59" s="547"/>
      <c r="E59" s="547"/>
      <c r="F59" s="547"/>
      <c r="G59" s="547"/>
      <c r="H59" s="547"/>
      <c r="I59" s="547"/>
      <c r="J59" s="547"/>
      <c r="K59" s="547"/>
      <c r="L59" s="547"/>
      <c r="M59" s="547"/>
      <c r="N59" s="547"/>
    </row>
    <row r="60" spans="1:14" x14ac:dyDescent="0.2">
      <c r="A60" s="547"/>
      <c r="B60" s="547"/>
      <c r="C60" s="547"/>
      <c r="D60" s="547"/>
      <c r="E60" s="547"/>
      <c r="F60" s="547"/>
      <c r="G60" s="547"/>
      <c r="H60" s="547"/>
      <c r="I60" s="547"/>
      <c r="J60" s="547"/>
      <c r="K60" s="547"/>
      <c r="L60" s="547"/>
      <c r="M60" s="547"/>
      <c r="N60" s="547"/>
    </row>
    <row r="61" spans="1:14" x14ac:dyDescent="0.2">
      <c r="A61" s="547"/>
      <c r="B61" s="547"/>
      <c r="C61" s="547"/>
      <c r="D61" s="547"/>
      <c r="E61" s="547"/>
      <c r="F61" s="547"/>
      <c r="G61" s="547"/>
      <c r="H61" s="547"/>
      <c r="I61" s="547"/>
      <c r="J61" s="547"/>
      <c r="K61" s="547"/>
      <c r="L61" s="547"/>
      <c r="M61" s="547"/>
      <c r="N61" s="547"/>
    </row>
    <row r="62" spans="1:14" x14ac:dyDescent="0.2">
      <c r="A62" s="547"/>
      <c r="B62" s="547"/>
      <c r="C62" s="547"/>
      <c r="D62" s="547"/>
      <c r="E62" s="547"/>
      <c r="F62" s="547"/>
      <c r="G62" s="547"/>
      <c r="H62" s="547"/>
      <c r="I62" s="547"/>
      <c r="J62" s="547"/>
      <c r="K62" s="547"/>
      <c r="L62" s="547"/>
      <c r="M62" s="547"/>
      <c r="N62" s="547"/>
    </row>
    <row r="63" spans="1:14" x14ac:dyDescent="0.2">
      <c r="A63" s="547"/>
      <c r="B63" s="547"/>
      <c r="C63" s="547"/>
      <c r="D63" s="547"/>
      <c r="E63" s="547"/>
      <c r="F63" s="547"/>
      <c r="G63" s="547"/>
      <c r="H63" s="547"/>
      <c r="I63" s="547"/>
      <c r="J63" s="547"/>
      <c r="K63" s="547"/>
      <c r="L63" s="547"/>
      <c r="M63" s="547"/>
      <c r="N63" s="547"/>
    </row>
    <row r="64" spans="1:14" x14ac:dyDescent="0.2">
      <c r="A64" s="547"/>
      <c r="B64" s="547"/>
      <c r="C64" s="547"/>
      <c r="D64" s="547"/>
      <c r="E64" s="547"/>
      <c r="F64" s="547"/>
      <c r="G64" s="547"/>
      <c r="H64" s="547"/>
      <c r="I64" s="547"/>
      <c r="J64" s="547"/>
      <c r="K64" s="547"/>
      <c r="L64" s="547"/>
      <c r="M64" s="547"/>
      <c r="N64" s="547"/>
    </row>
    <row r="65" spans="1:14" x14ac:dyDescent="0.2">
      <c r="A65" s="547"/>
      <c r="B65" s="547"/>
      <c r="C65" s="547"/>
      <c r="D65" s="547"/>
      <c r="E65" s="547"/>
      <c r="F65" s="547"/>
      <c r="G65" s="547"/>
      <c r="H65" s="547"/>
      <c r="I65" s="547"/>
      <c r="J65" s="547"/>
      <c r="K65" s="547"/>
      <c r="L65" s="547"/>
      <c r="M65" s="547"/>
      <c r="N65" s="547"/>
    </row>
    <row r="66" spans="1:14" x14ac:dyDescent="0.2">
      <c r="A66" s="547"/>
      <c r="B66" s="547"/>
      <c r="C66" s="547"/>
      <c r="D66" s="547"/>
      <c r="E66" s="547"/>
      <c r="F66" s="547"/>
      <c r="G66" s="547"/>
      <c r="H66" s="547"/>
      <c r="I66" s="547"/>
      <c r="J66" s="547"/>
      <c r="K66" s="547"/>
      <c r="L66" s="547"/>
      <c r="M66" s="547"/>
      <c r="N66" s="547"/>
    </row>
    <row r="67" spans="1:14" x14ac:dyDescent="0.2">
      <c r="A67" s="547"/>
      <c r="B67" s="547"/>
      <c r="C67" s="547"/>
      <c r="D67" s="547"/>
      <c r="E67" s="547"/>
      <c r="F67" s="547"/>
      <c r="G67" s="547"/>
      <c r="H67" s="547"/>
      <c r="I67" s="547"/>
      <c r="J67" s="547"/>
      <c r="K67" s="547"/>
      <c r="L67" s="547"/>
      <c r="M67" s="547"/>
      <c r="N67" s="547"/>
    </row>
    <row r="68" spans="1:14" x14ac:dyDescent="0.2">
      <c r="A68" s="547"/>
      <c r="B68" s="547"/>
      <c r="C68" s="547"/>
      <c r="D68" s="547"/>
      <c r="E68" s="547"/>
      <c r="F68" s="547"/>
      <c r="G68" s="547"/>
      <c r="H68" s="547"/>
      <c r="I68" s="547"/>
      <c r="J68" s="547"/>
      <c r="K68" s="547"/>
      <c r="L68" s="547"/>
      <c r="M68" s="547"/>
      <c r="N68" s="547"/>
    </row>
    <row r="69" spans="1:14" x14ac:dyDescent="0.2">
      <c r="A69" s="547"/>
      <c r="B69" s="547"/>
      <c r="C69" s="547"/>
      <c r="D69" s="547"/>
      <c r="E69" s="547"/>
      <c r="F69" s="547"/>
      <c r="G69" s="547"/>
      <c r="H69" s="547"/>
      <c r="I69" s="547"/>
      <c r="J69" s="547"/>
      <c r="K69" s="547"/>
      <c r="L69" s="547"/>
      <c r="M69" s="547"/>
      <c r="N69" s="547"/>
    </row>
    <row r="70" spans="1:14" x14ac:dyDescent="0.2">
      <c r="A70" s="547"/>
      <c r="B70" s="547"/>
      <c r="C70" s="547"/>
      <c r="D70" s="547"/>
      <c r="E70" s="547"/>
      <c r="F70" s="547"/>
      <c r="G70" s="547"/>
      <c r="H70" s="547"/>
      <c r="I70" s="547"/>
      <c r="J70" s="547"/>
      <c r="K70" s="547"/>
      <c r="L70" s="547"/>
      <c r="M70" s="547"/>
      <c r="N70" s="547"/>
    </row>
    <row r="71" spans="1:14" x14ac:dyDescent="0.2">
      <c r="A71" s="547"/>
      <c r="B71" s="547"/>
      <c r="C71" s="547"/>
      <c r="D71" s="547"/>
      <c r="E71" s="547"/>
      <c r="F71" s="547"/>
      <c r="G71" s="547"/>
      <c r="H71" s="547"/>
      <c r="I71" s="547"/>
      <c r="J71" s="547"/>
      <c r="K71" s="547"/>
      <c r="L71" s="547"/>
      <c r="M71" s="547"/>
      <c r="N71" s="547"/>
    </row>
    <row r="72" spans="1:14" x14ac:dyDescent="0.2">
      <c r="A72" s="547"/>
      <c r="B72" s="547"/>
      <c r="C72" s="547"/>
      <c r="D72" s="547"/>
      <c r="E72" s="547"/>
      <c r="F72" s="547"/>
      <c r="G72" s="547"/>
      <c r="H72" s="547"/>
      <c r="I72" s="547"/>
      <c r="J72" s="547"/>
      <c r="K72" s="547"/>
      <c r="L72" s="547"/>
      <c r="M72" s="547"/>
      <c r="N72" s="547"/>
    </row>
    <row r="73" spans="1:14" x14ac:dyDescent="0.2">
      <c r="A73" s="547"/>
      <c r="B73" s="547"/>
      <c r="C73" s="547"/>
      <c r="D73" s="547"/>
      <c r="E73" s="547"/>
      <c r="F73" s="547"/>
      <c r="G73" s="547"/>
      <c r="H73" s="547"/>
      <c r="I73" s="547"/>
      <c r="J73" s="547"/>
      <c r="K73" s="547"/>
      <c r="L73" s="547"/>
      <c r="M73" s="547"/>
      <c r="N73" s="547"/>
    </row>
    <row r="74" spans="1:14" x14ac:dyDescent="0.2">
      <c r="A74" s="547"/>
      <c r="B74" s="547"/>
      <c r="C74" s="547"/>
      <c r="D74" s="547"/>
      <c r="E74" s="547"/>
      <c r="F74" s="547"/>
      <c r="G74" s="547"/>
      <c r="H74" s="547"/>
      <c r="I74" s="547"/>
      <c r="J74" s="547"/>
      <c r="K74" s="547"/>
      <c r="L74" s="547"/>
      <c r="M74" s="547"/>
      <c r="N74" s="547"/>
    </row>
    <row r="75" spans="1:14" x14ac:dyDescent="0.2">
      <c r="A75" s="547"/>
      <c r="B75" s="547"/>
      <c r="C75" s="547"/>
      <c r="D75" s="547"/>
      <c r="E75" s="547"/>
      <c r="F75" s="547"/>
      <c r="G75" s="547"/>
      <c r="H75" s="547"/>
      <c r="I75" s="547"/>
      <c r="J75" s="547"/>
      <c r="K75" s="547"/>
      <c r="L75" s="547"/>
      <c r="M75" s="547"/>
      <c r="N75" s="547"/>
    </row>
    <row r="76" spans="1:14" x14ac:dyDescent="0.2">
      <c r="A76" s="547"/>
      <c r="B76" s="547"/>
      <c r="C76" s="547"/>
      <c r="D76" s="547"/>
      <c r="E76" s="547"/>
      <c r="F76" s="547"/>
      <c r="G76" s="547"/>
      <c r="H76" s="547"/>
      <c r="I76" s="547"/>
      <c r="J76" s="547"/>
      <c r="K76" s="547"/>
      <c r="L76" s="547"/>
      <c r="M76" s="547"/>
      <c r="N76" s="547"/>
    </row>
    <row r="77" spans="1:14" x14ac:dyDescent="0.2">
      <c r="A77" s="547"/>
      <c r="B77" s="547"/>
      <c r="C77" s="547"/>
      <c r="D77" s="547"/>
      <c r="E77" s="547"/>
      <c r="F77" s="547"/>
      <c r="G77" s="547"/>
      <c r="H77" s="547"/>
      <c r="I77" s="547"/>
      <c r="J77" s="547"/>
      <c r="K77" s="547"/>
      <c r="L77" s="547"/>
      <c r="M77" s="547"/>
      <c r="N77" s="547"/>
    </row>
    <row r="78" spans="1:14" x14ac:dyDescent="0.2">
      <c r="A78" s="547"/>
      <c r="B78" s="547"/>
      <c r="C78" s="547"/>
      <c r="D78" s="547"/>
      <c r="E78" s="547"/>
      <c r="F78" s="547"/>
      <c r="G78" s="547"/>
      <c r="H78" s="547"/>
      <c r="I78" s="547"/>
      <c r="J78" s="547"/>
      <c r="K78" s="547"/>
      <c r="L78" s="547"/>
      <c r="M78" s="547"/>
      <c r="N78" s="547"/>
    </row>
    <row r="79" spans="1:14" x14ac:dyDescent="0.2">
      <c r="A79" s="547"/>
      <c r="B79" s="547"/>
      <c r="C79" s="547"/>
      <c r="D79" s="547"/>
      <c r="E79" s="547"/>
      <c r="F79" s="547"/>
      <c r="G79" s="547"/>
      <c r="H79" s="547"/>
      <c r="I79" s="547"/>
      <c r="J79" s="547"/>
      <c r="K79" s="547"/>
      <c r="L79" s="547"/>
      <c r="M79" s="547"/>
      <c r="N79" s="547"/>
    </row>
    <row r="80" spans="1:14" x14ac:dyDescent="0.2">
      <c r="A80" s="547"/>
      <c r="B80" s="547"/>
      <c r="C80" s="547"/>
      <c r="D80" s="547"/>
      <c r="E80" s="547"/>
      <c r="F80" s="547"/>
      <c r="G80" s="547"/>
      <c r="H80" s="547"/>
      <c r="I80" s="547"/>
      <c r="J80" s="547"/>
      <c r="K80" s="547"/>
      <c r="L80" s="547"/>
      <c r="M80" s="547"/>
      <c r="N80" s="547"/>
    </row>
    <row r="81" spans="1:14" x14ac:dyDescent="0.2">
      <c r="A81" s="547"/>
      <c r="B81" s="547"/>
      <c r="C81" s="547"/>
      <c r="D81" s="547"/>
      <c r="E81" s="547"/>
      <c r="F81" s="547"/>
      <c r="G81" s="547"/>
      <c r="H81" s="547"/>
      <c r="I81" s="547"/>
      <c r="J81" s="547"/>
      <c r="K81" s="547"/>
      <c r="L81" s="547"/>
      <c r="M81" s="547"/>
      <c r="N81" s="547"/>
    </row>
    <row r="82" spans="1:14" x14ac:dyDescent="0.2">
      <c r="A82" s="547"/>
      <c r="B82" s="547"/>
      <c r="C82" s="547"/>
      <c r="D82" s="547"/>
      <c r="E82" s="547"/>
      <c r="F82" s="547"/>
      <c r="G82" s="547"/>
      <c r="H82" s="547"/>
      <c r="I82" s="547"/>
      <c r="J82" s="547"/>
      <c r="K82" s="547"/>
      <c r="L82" s="547"/>
      <c r="M82" s="547"/>
      <c r="N82" s="547"/>
    </row>
    <row r="83" spans="1:14" x14ac:dyDescent="0.2">
      <c r="A83" s="547"/>
      <c r="B83" s="547"/>
      <c r="C83" s="547"/>
      <c r="D83" s="547"/>
      <c r="E83" s="547"/>
      <c r="F83" s="547"/>
      <c r="G83" s="547"/>
      <c r="H83" s="547"/>
      <c r="I83" s="547"/>
      <c r="J83" s="547"/>
      <c r="K83" s="547"/>
      <c r="L83" s="547"/>
      <c r="M83" s="547"/>
      <c r="N83" s="547"/>
    </row>
    <row r="84" spans="1:14" x14ac:dyDescent="0.2">
      <c r="A84" s="547"/>
      <c r="B84" s="547"/>
      <c r="C84" s="547"/>
      <c r="D84" s="547"/>
      <c r="E84" s="547"/>
      <c r="F84" s="547"/>
      <c r="G84" s="547"/>
      <c r="H84" s="547"/>
      <c r="I84" s="547"/>
      <c r="J84" s="547"/>
      <c r="K84" s="547"/>
      <c r="L84" s="547"/>
      <c r="M84" s="547"/>
      <c r="N84" s="547"/>
    </row>
    <row r="85" spans="1:14" x14ac:dyDescent="0.2">
      <c r="A85" s="547"/>
      <c r="B85" s="547"/>
      <c r="C85" s="547"/>
      <c r="D85" s="547"/>
      <c r="E85" s="547"/>
      <c r="F85" s="547"/>
      <c r="G85" s="547"/>
      <c r="H85" s="547"/>
      <c r="I85" s="547"/>
      <c r="J85" s="547"/>
      <c r="K85" s="547"/>
      <c r="L85" s="547"/>
      <c r="M85" s="547"/>
      <c r="N85" s="547"/>
    </row>
    <row r="86" spans="1:14" x14ac:dyDescent="0.2">
      <c r="A86" s="547"/>
      <c r="B86" s="547"/>
      <c r="C86" s="547"/>
      <c r="D86" s="547"/>
      <c r="E86" s="547"/>
      <c r="F86" s="547"/>
      <c r="G86" s="547"/>
      <c r="H86" s="547"/>
      <c r="I86" s="547"/>
      <c r="J86" s="547"/>
      <c r="K86" s="547"/>
      <c r="L86" s="547"/>
      <c r="M86" s="547"/>
      <c r="N86" s="547"/>
    </row>
    <row r="87" spans="1:14" x14ac:dyDescent="0.2">
      <c r="A87" s="547"/>
      <c r="B87" s="547"/>
      <c r="C87" s="547"/>
      <c r="D87" s="547"/>
      <c r="E87" s="547"/>
      <c r="F87" s="547"/>
      <c r="G87" s="547"/>
      <c r="H87" s="547"/>
      <c r="I87" s="547"/>
      <c r="J87" s="547"/>
      <c r="K87" s="547"/>
      <c r="L87" s="547"/>
      <c r="M87" s="547"/>
      <c r="N87" s="547"/>
    </row>
    <row r="88" spans="1:14" x14ac:dyDescent="0.2">
      <c r="A88" s="547"/>
      <c r="B88" s="547"/>
      <c r="C88" s="547"/>
      <c r="D88" s="547"/>
      <c r="E88" s="547"/>
      <c r="F88" s="547"/>
      <c r="G88" s="547"/>
      <c r="H88" s="547"/>
      <c r="I88" s="547"/>
      <c r="J88" s="547"/>
      <c r="K88" s="547"/>
      <c r="L88" s="547"/>
      <c r="M88" s="547"/>
      <c r="N88" s="547"/>
    </row>
    <row r="89" spans="1:14" x14ac:dyDescent="0.2">
      <c r="A89" s="547"/>
      <c r="B89" s="547"/>
      <c r="C89" s="547"/>
      <c r="D89" s="547"/>
      <c r="E89" s="547"/>
      <c r="F89" s="547"/>
      <c r="G89" s="547"/>
      <c r="H89" s="547"/>
      <c r="I89" s="547"/>
      <c r="J89" s="547"/>
      <c r="K89" s="547"/>
      <c r="L89" s="547"/>
      <c r="M89" s="547"/>
      <c r="N89" s="547"/>
    </row>
    <row r="90" spans="1:14" x14ac:dyDescent="0.2">
      <c r="A90" s="547"/>
      <c r="B90" s="547"/>
      <c r="C90" s="547"/>
      <c r="D90" s="547"/>
      <c r="E90" s="547"/>
      <c r="F90" s="547"/>
      <c r="G90" s="547"/>
      <c r="H90" s="547"/>
      <c r="I90" s="547"/>
      <c r="J90" s="547"/>
      <c r="K90" s="547"/>
      <c r="L90" s="547"/>
      <c r="M90" s="547"/>
      <c r="N90" s="547"/>
    </row>
    <row r="91" spans="1:14" x14ac:dyDescent="0.2">
      <c r="A91" s="547"/>
      <c r="B91" s="547"/>
      <c r="C91" s="547"/>
      <c r="D91" s="547"/>
      <c r="E91" s="547"/>
      <c r="F91" s="547"/>
      <c r="G91" s="547"/>
      <c r="H91" s="547"/>
      <c r="I91" s="547"/>
      <c r="J91" s="547"/>
      <c r="K91" s="547"/>
      <c r="L91" s="547"/>
      <c r="M91" s="547"/>
      <c r="N91" s="547"/>
    </row>
    <row r="92" spans="1:14" x14ac:dyDescent="0.2">
      <c r="A92" s="547"/>
      <c r="B92" s="547"/>
      <c r="C92" s="547"/>
      <c r="D92" s="547"/>
      <c r="E92" s="547"/>
      <c r="F92" s="547"/>
      <c r="G92" s="547"/>
      <c r="H92" s="547"/>
      <c r="I92" s="547"/>
      <c r="J92" s="547"/>
      <c r="K92" s="547"/>
      <c r="L92" s="547"/>
      <c r="M92" s="547"/>
      <c r="N92" s="547"/>
    </row>
    <row r="93" spans="1:14" x14ac:dyDescent="0.2">
      <c r="A93" s="547"/>
      <c r="B93" s="547"/>
      <c r="C93" s="547"/>
      <c r="D93" s="547"/>
      <c r="E93" s="547"/>
      <c r="F93" s="547"/>
      <c r="G93" s="547"/>
      <c r="H93" s="547"/>
      <c r="I93" s="547"/>
      <c r="J93" s="547"/>
      <c r="K93" s="547"/>
      <c r="L93" s="547"/>
      <c r="M93" s="547"/>
      <c r="N93" s="547"/>
    </row>
    <row r="94" spans="1:14" x14ac:dyDescent="0.2">
      <c r="A94" s="547"/>
      <c r="B94" s="547"/>
      <c r="C94" s="547"/>
      <c r="D94" s="547"/>
      <c r="E94" s="547"/>
      <c r="F94" s="547"/>
      <c r="G94" s="547"/>
      <c r="H94" s="547"/>
      <c r="I94" s="547"/>
      <c r="J94" s="547"/>
      <c r="K94" s="547"/>
      <c r="L94" s="547"/>
      <c r="M94" s="547"/>
      <c r="N94" s="547"/>
    </row>
    <row r="95" spans="1:14" x14ac:dyDescent="0.2">
      <c r="A95" s="547"/>
      <c r="B95" s="547"/>
      <c r="C95" s="547"/>
      <c r="D95" s="547"/>
      <c r="E95" s="547"/>
      <c r="F95" s="547"/>
      <c r="G95" s="547"/>
      <c r="H95" s="547"/>
      <c r="I95" s="547"/>
      <c r="J95" s="547"/>
      <c r="K95" s="547"/>
      <c r="L95" s="547"/>
      <c r="M95" s="547"/>
      <c r="N95" s="547"/>
    </row>
    <row r="96" spans="1:14" x14ac:dyDescent="0.2">
      <c r="A96" s="547"/>
      <c r="B96" s="547"/>
      <c r="C96" s="547"/>
      <c r="D96" s="547"/>
      <c r="E96" s="547"/>
      <c r="F96" s="547"/>
      <c r="G96" s="547"/>
      <c r="H96" s="547"/>
      <c r="I96" s="547"/>
      <c r="J96" s="547"/>
      <c r="K96" s="547"/>
      <c r="L96" s="547"/>
      <c r="M96" s="547"/>
      <c r="N96" s="547"/>
    </row>
    <row r="97" spans="1:14" x14ac:dyDescent="0.2">
      <c r="A97" s="547"/>
      <c r="B97" s="547"/>
      <c r="C97" s="547"/>
      <c r="D97" s="547"/>
      <c r="E97" s="547"/>
      <c r="F97" s="547"/>
      <c r="G97" s="547"/>
      <c r="H97" s="547"/>
      <c r="I97" s="547"/>
      <c r="J97" s="547"/>
      <c r="K97" s="547"/>
      <c r="L97" s="547"/>
      <c r="M97" s="547"/>
      <c r="N97" s="547"/>
    </row>
    <row r="98" spans="1:14" x14ac:dyDescent="0.2">
      <c r="A98" s="547"/>
      <c r="B98" s="547"/>
      <c r="C98" s="547"/>
      <c r="D98" s="547"/>
      <c r="E98" s="547"/>
      <c r="F98" s="547"/>
      <c r="G98" s="547"/>
      <c r="H98" s="547"/>
      <c r="I98" s="547"/>
      <c r="J98" s="547"/>
      <c r="K98" s="547"/>
      <c r="L98" s="547"/>
      <c r="M98" s="547"/>
      <c r="N98" s="547"/>
    </row>
    <row r="99" spans="1:14" x14ac:dyDescent="0.2">
      <c r="A99" s="547"/>
      <c r="B99" s="547"/>
      <c r="C99" s="547"/>
      <c r="D99" s="547"/>
      <c r="E99" s="547"/>
      <c r="F99" s="547"/>
      <c r="G99" s="547"/>
      <c r="H99" s="547"/>
      <c r="I99" s="547"/>
      <c r="J99" s="547"/>
      <c r="K99" s="547"/>
      <c r="L99" s="547"/>
      <c r="M99" s="547"/>
      <c r="N99" s="547"/>
    </row>
    <row r="100" spans="1:14" x14ac:dyDescent="0.2">
      <c r="A100" s="547"/>
      <c r="B100" s="547"/>
      <c r="C100" s="547"/>
      <c r="D100" s="547"/>
      <c r="E100" s="547"/>
      <c r="F100" s="547"/>
      <c r="G100" s="547"/>
      <c r="H100" s="547"/>
      <c r="I100" s="547"/>
      <c r="J100" s="547"/>
      <c r="K100" s="547"/>
      <c r="L100" s="547"/>
      <c r="M100" s="547"/>
      <c r="N100" s="547"/>
    </row>
    <row r="101" spans="1:14" x14ac:dyDescent="0.2">
      <c r="A101" s="547"/>
      <c r="B101" s="547"/>
      <c r="C101" s="547"/>
      <c r="D101" s="547"/>
      <c r="E101" s="547"/>
      <c r="F101" s="547"/>
      <c r="G101" s="547"/>
      <c r="H101" s="547"/>
      <c r="I101" s="547"/>
      <c r="J101" s="547"/>
      <c r="K101" s="547"/>
      <c r="L101" s="547"/>
      <c r="M101" s="547"/>
      <c r="N101" s="547"/>
    </row>
    <row r="102" spans="1:14" x14ac:dyDescent="0.2">
      <c r="A102" s="547"/>
      <c r="B102" s="547"/>
      <c r="C102" s="547"/>
      <c r="D102" s="547"/>
      <c r="E102" s="547"/>
      <c r="F102" s="547"/>
      <c r="G102" s="547"/>
      <c r="H102" s="547"/>
      <c r="I102" s="547"/>
      <c r="J102" s="547"/>
      <c r="K102" s="547"/>
      <c r="L102" s="547"/>
      <c r="M102" s="547"/>
      <c r="N102" s="547"/>
    </row>
    <row r="103" spans="1:14" x14ac:dyDescent="0.2">
      <c r="A103" s="547"/>
      <c r="B103" s="547"/>
      <c r="C103" s="547"/>
      <c r="D103" s="547"/>
      <c r="E103" s="547"/>
      <c r="F103" s="547"/>
      <c r="G103" s="547"/>
      <c r="H103" s="547"/>
      <c r="I103" s="547"/>
      <c r="J103" s="547"/>
      <c r="K103" s="547"/>
      <c r="L103" s="547"/>
      <c r="M103" s="547"/>
      <c r="N103" s="547"/>
    </row>
    <row r="104" spans="1:14" x14ac:dyDescent="0.2">
      <c r="A104" s="547"/>
      <c r="B104" s="547"/>
      <c r="C104" s="547"/>
      <c r="D104" s="547"/>
      <c r="E104" s="547"/>
      <c r="F104" s="547"/>
      <c r="G104" s="547"/>
      <c r="H104" s="547"/>
      <c r="I104" s="547"/>
      <c r="J104" s="547"/>
      <c r="K104" s="547"/>
      <c r="L104" s="547"/>
      <c r="M104" s="547"/>
      <c r="N104" s="547"/>
    </row>
    <row r="105" spans="1:14" x14ac:dyDescent="0.2">
      <c r="A105" s="547"/>
      <c r="B105" s="547"/>
      <c r="C105" s="547"/>
      <c r="D105" s="547"/>
      <c r="E105" s="547"/>
      <c r="F105" s="547"/>
      <c r="G105" s="547"/>
      <c r="H105" s="547"/>
      <c r="I105" s="547"/>
      <c r="J105" s="547"/>
      <c r="K105" s="547"/>
      <c r="L105" s="547"/>
      <c r="M105" s="547"/>
      <c r="N105" s="547"/>
    </row>
    <row r="106" spans="1:14" x14ac:dyDescent="0.2">
      <c r="A106" s="547"/>
      <c r="B106" s="547"/>
      <c r="C106" s="547"/>
      <c r="D106" s="547"/>
      <c r="E106" s="547"/>
      <c r="F106" s="547"/>
      <c r="G106" s="547"/>
      <c r="H106" s="547"/>
      <c r="I106" s="547"/>
      <c r="J106" s="547"/>
      <c r="K106" s="547"/>
      <c r="L106" s="547"/>
      <c r="M106" s="547"/>
      <c r="N106" s="547"/>
    </row>
    <row r="107" spans="1:14" x14ac:dyDescent="0.2">
      <c r="A107" s="547"/>
      <c r="B107" s="547"/>
      <c r="C107" s="547"/>
      <c r="D107" s="547"/>
      <c r="E107" s="547"/>
      <c r="F107" s="547"/>
      <c r="G107" s="547"/>
      <c r="H107" s="547"/>
      <c r="I107" s="547"/>
      <c r="J107" s="547"/>
      <c r="K107" s="547"/>
      <c r="L107" s="547"/>
      <c r="M107" s="547"/>
      <c r="N107" s="547"/>
    </row>
    <row r="108" spans="1:14" x14ac:dyDescent="0.2">
      <c r="A108" s="547"/>
      <c r="B108" s="547"/>
      <c r="C108" s="547"/>
      <c r="D108" s="547"/>
      <c r="E108" s="547"/>
      <c r="F108" s="547"/>
      <c r="G108" s="547"/>
      <c r="H108" s="547"/>
      <c r="I108" s="547"/>
      <c r="J108" s="547"/>
      <c r="K108" s="547"/>
      <c r="L108" s="547"/>
      <c r="M108" s="547"/>
      <c r="N108" s="547"/>
    </row>
    <row r="109" spans="1:14" x14ac:dyDescent="0.2">
      <c r="A109" s="547"/>
      <c r="B109" s="547"/>
      <c r="C109" s="547"/>
      <c r="D109" s="547"/>
      <c r="E109" s="547"/>
      <c r="F109" s="547"/>
      <c r="G109" s="547"/>
      <c r="H109" s="547"/>
      <c r="I109" s="547"/>
      <c r="J109" s="547"/>
      <c r="K109" s="547"/>
      <c r="L109" s="547"/>
      <c r="M109" s="547"/>
      <c r="N109" s="547"/>
    </row>
    <row r="110" spans="1:14" x14ac:dyDescent="0.2">
      <c r="A110" s="547"/>
      <c r="B110" s="547"/>
      <c r="C110" s="547"/>
      <c r="D110" s="547"/>
      <c r="E110" s="547"/>
      <c r="F110" s="547"/>
      <c r="G110" s="547"/>
      <c r="H110" s="547"/>
      <c r="I110" s="547"/>
      <c r="J110" s="547"/>
      <c r="K110" s="547"/>
      <c r="L110" s="547"/>
      <c r="M110" s="547"/>
      <c r="N110" s="547"/>
    </row>
    <row r="111" spans="1:14" x14ac:dyDescent="0.2">
      <c r="A111" s="547"/>
      <c r="B111" s="547"/>
      <c r="C111" s="547"/>
      <c r="D111" s="547"/>
      <c r="E111" s="547"/>
      <c r="F111" s="547"/>
      <c r="G111" s="547"/>
      <c r="H111" s="547"/>
      <c r="I111" s="547"/>
      <c r="J111" s="547"/>
      <c r="K111" s="547"/>
      <c r="L111" s="547"/>
      <c r="M111" s="547"/>
      <c r="N111" s="547"/>
    </row>
    <row r="112" spans="1:14" x14ac:dyDescent="0.2">
      <c r="A112" s="547"/>
      <c r="B112" s="547"/>
      <c r="C112" s="547"/>
      <c r="D112" s="547"/>
      <c r="E112" s="547"/>
      <c r="F112" s="547"/>
      <c r="G112" s="547"/>
      <c r="H112" s="547"/>
      <c r="I112" s="547"/>
      <c r="J112" s="547"/>
      <c r="K112" s="547"/>
      <c r="L112" s="547"/>
      <c r="M112" s="547"/>
      <c r="N112" s="547"/>
    </row>
    <row r="113" spans="1:14" x14ac:dyDescent="0.2">
      <c r="A113" s="547"/>
      <c r="B113" s="547"/>
      <c r="C113" s="547"/>
      <c r="D113" s="547"/>
      <c r="E113" s="547"/>
      <c r="F113" s="547"/>
      <c r="G113" s="547"/>
      <c r="H113" s="547"/>
      <c r="I113" s="547"/>
      <c r="J113" s="547"/>
      <c r="K113" s="547"/>
      <c r="L113" s="547"/>
      <c r="M113" s="547"/>
      <c r="N113" s="547"/>
    </row>
    <row r="114" spans="1:14" x14ac:dyDescent="0.2">
      <c r="A114" s="547"/>
      <c r="B114" s="547"/>
      <c r="C114" s="547"/>
      <c r="D114" s="547"/>
      <c r="E114" s="547"/>
      <c r="F114" s="547"/>
      <c r="G114" s="547"/>
      <c r="H114" s="547"/>
      <c r="I114" s="547"/>
      <c r="J114" s="547"/>
      <c r="K114" s="547"/>
      <c r="L114" s="547"/>
      <c r="M114" s="547"/>
      <c r="N114" s="547"/>
    </row>
    <row r="115" spans="1:14" x14ac:dyDescent="0.2">
      <c r="A115" s="547"/>
      <c r="B115" s="547"/>
      <c r="C115" s="547"/>
      <c r="D115" s="547"/>
      <c r="E115" s="547"/>
      <c r="F115" s="547"/>
      <c r="G115" s="547"/>
      <c r="H115" s="547"/>
      <c r="I115" s="547"/>
      <c r="J115" s="547"/>
      <c r="K115" s="547"/>
      <c r="L115" s="547"/>
      <c r="M115" s="547"/>
      <c r="N115" s="547"/>
    </row>
    <row r="116" spans="1:14" x14ac:dyDescent="0.2">
      <c r="A116" s="547"/>
      <c r="B116" s="547"/>
      <c r="C116" s="547"/>
      <c r="D116" s="547"/>
      <c r="E116" s="547"/>
      <c r="F116" s="547"/>
      <c r="G116" s="547"/>
      <c r="H116" s="547"/>
      <c r="I116" s="547"/>
      <c r="J116" s="547"/>
      <c r="K116" s="547"/>
      <c r="L116" s="547"/>
      <c r="M116" s="547"/>
      <c r="N116" s="547"/>
    </row>
    <row r="117" spans="1:14" x14ac:dyDescent="0.2">
      <c r="A117" s="547"/>
      <c r="B117" s="547"/>
      <c r="C117" s="547"/>
      <c r="D117" s="547"/>
      <c r="E117" s="547"/>
      <c r="F117" s="547"/>
      <c r="G117" s="547"/>
      <c r="H117" s="547"/>
      <c r="I117" s="547"/>
      <c r="J117" s="547"/>
      <c r="K117" s="547"/>
      <c r="L117" s="547"/>
      <c r="M117" s="547"/>
      <c r="N117" s="547"/>
    </row>
    <row r="118" spans="1:14" x14ac:dyDescent="0.2">
      <c r="A118" s="547"/>
      <c r="B118" s="547"/>
      <c r="C118" s="547"/>
      <c r="D118" s="547"/>
      <c r="E118" s="547"/>
      <c r="F118" s="547"/>
      <c r="G118" s="547"/>
      <c r="H118" s="547"/>
      <c r="I118" s="547"/>
      <c r="J118" s="547"/>
      <c r="K118" s="547"/>
      <c r="L118" s="547"/>
      <c r="M118" s="547"/>
      <c r="N118" s="547"/>
    </row>
    <row r="119" spans="1:14" x14ac:dyDescent="0.2">
      <c r="A119" s="547"/>
      <c r="B119" s="547"/>
      <c r="C119" s="547"/>
      <c r="D119" s="547"/>
      <c r="E119" s="547"/>
      <c r="F119" s="547"/>
      <c r="G119" s="547"/>
      <c r="H119" s="547"/>
      <c r="I119" s="547"/>
      <c r="J119" s="547"/>
      <c r="K119" s="547"/>
      <c r="L119" s="547"/>
      <c r="M119" s="547"/>
      <c r="N119" s="547"/>
    </row>
    <row r="120" spans="1:14" x14ac:dyDescent="0.2">
      <c r="A120" s="547"/>
      <c r="B120" s="547"/>
      <c r="C120" s="547"/>
      <c r="D120" s="547"/>
      <c r="E120" s="547"/>
      <c r="F120" s="547"/>
      <c r="G120" s="547"/>
      <c r="H120" s="547"/>
      <c r="I120" s="547"/>
      <c r="J120" s="547"/>
      <c r="K120" s="547"/>
      <c r="L120" s="547"/>
      <c r="M120" s="547"/>
      <c r="N120" s="547"/>
    </row>
    <row r="121" spans="1:14" x14ac:dyDescent="0.2">
      <c r="A121" s="547"/>
      <c r="B121" s="547"/>
      <c r="C121" s="547"/>
      <c r="D121" s="547"/>
      <c r="E121" s="547"/>
      <c r="F121" s="547"/>
      <c r="G121" s="547"/>
      <c r="H121" s="547"/>
      <c r="I121" s="547"/>
      <c r="J121" s="547"/>
      <c r="K121" s="547"/>
      <c r="L121" s="547"/>
      <c r="M121" s="547"/>
      <c r="N121" s="547"/>
    </row>
    <row r="122" spans="1:14" x14ac:dyDescent="0.2">
      <c r="A122" s="547"/>
      <c r="B122" s="547"/>
      <c r="C122" s="547"/>
      <c r="D122" s="547"/>
      <c r="E122" s="547"/>
      <c r="F122" s="547"/>
      <c r="G122" s="547"/>
      <c r="H122" s="547"/>
      <c r="I122" s="547"/>
      <c r="J122" s="547"/>
      <c r="K122" s="547"/>
      <c r="L122" s="547"/>
      <c r="M122" s="547"/>
      <c r="N122" s="547"/>
    </row>
    <row r="123" spans="1:14" x14ac:dyDescent="0.2">
      <c r="A123" s="547"/>
      <c r="B123" s="547"/>
      <c r="C123" s="547"/>
      <c r="D123" s="547"/>
      <c r="E123" s="547"/>
      <c r="F123" s="547"/>
      <c r="G123" s="547"/>
      <c r="H123" s="547"/>
      <c r="I123" s="547"/>
      <c r="J123" s="547"/>
      <c r="K123" s="547"/>
      <c r="L123" s="547"/>
      <c r="M123" s="547"/>
      <c r="N123" s="547"/>
    </row>
    <row r="124" spans="1:14" x14ac:dyDescent="0.2">
      <c r="A124" s="547"/>
      <c r="B124" s="547"/>
      <c r="C124" s="547"/>
      <c r="D124" s="547"/>
      <c r="E124" s="547"/>
      <c r="F124" s="547"/>
      <c r="G124" s="547"/>
      <c r="H124" s="547"/>
      <c r="I124" s="547"/>
      <c r="J124" s="547"/>
      <c r="K124" s="547"/>
      <c r="L124" s="547"/>
      <c r="M124" s="547"/>
      <c r="N124" s="547"/>
    </row>
    <row r="125" spans="1:14" x14ac:dyDescent="0.2">
      <c r="A125" s="547"/>
      <c r="B125" s="547"/>
      <c r="C125" s="547"/>
      <c r="D125" s="547"/>
      <c r="E125" s="547"/>
      <c r="F125" s="547"/>
      <c r="G125" s="547"/>
      <c r="H125" s="547"/>
      <c r="I125" s="547"/>
      <c r="J125" s="547"/>
      <c r="K125" s="547"/>
      <c r="L125" s="547"/>
      <c r="M125" s="547"/>
      <c r="N125" s="547"/>
    </row>
    <row r="126" spans="1:14" x14ac:dyDescent="0.2">
      <c r="A126" s="547"/>
      <c r="B126" s="547"/>
      <c r="C126" s="547"/>
      <c r="D126" s="547"/>
      <c r="E126" s="547"/>
      <c r="F126" s="547"/>
      <c r="G126" s="547"/>
      <c r="H126" s="547"/>
      <c r="I126" s="547"/>
      <c r="J126" s="547"/>
      <c r="K126" s="547"/>
      <c r="L126" s="547"/>
      <c r="M126" s="547"/>
      <c r="N126" s="547"/>
    </row>
    <row r="127" spans="1:14" x14ac:dyDescent="0.2">
      <c r="A127" s="547"/>
      <c r="B127" s="547"/>
      <c r="C127" s="547"/>
      <c r="D127" s="547"/>
      <c r="E127" s="547"/>
      <c r="F127" s="547"/>
      <c r="G127" s="547"/>
      <c r="H127" s="547"/>
      <c r="I127" s="547"/>
      <c r="J127" s="547"/>
      <c r="K127" s="547"/>
      <c r="L127" s="547"/>
      <c r="M127" s="547"/>
      <c r="N127" s="547"/>
    </row>
    <row r="128" spans="1:14" x14ac:dyDescent="0.2">
      <c r="A128" s="547"/>
      <c r="B128" s="547"/>
      <c r="C128" s="547"/>
      <c r="D128" s="547"/>
      <c r="E128" s="547"/>
      <c r="F128" s="547"/>
      <c r="G128" s="547"/>
      <c r="H128" s="547"/>
      <c r="I128" s="547"/>
      <c r="J128" s="547"/>
      <c r="K128" s="547"/>
      <c r="L128" s="547"/>
      <c r="M128" s="547"/>
      <c r="N128" s="547"/>
    </row>
    <row r="129" spans="1:14" x14ac:dyDescent="0.2">
      <c r="A129" s="547"/>
      <c r="B129" s="547"/>
      <c r="C129" s="547"/>
      <c r="D129" s="547"/>
      <c r="E129" s="547"/>
      <c r="F129" s="547"/>
      <c r="G129" s="547"/>
      <c r="H129" s="547"/>
      <c r="I129" s="547"/>
      <c r="J129" s="547"/>
      <c r="K129" s="547"/>
      <c r="L129" s="547"/>
      <c r="M129" s="547"/>
      <c r="N129" s="547"/>
    </row>
    <row r="130" spans="1:14" x14ac:dyDescent="0.2">
      <c r="A130" s="547"/>
      <c r="B130" s="547"/>
      <c r="C130" s="547"/>
      <c r="D130" s="547"/>
      <c r="E130" s="547"/>
      <c r="F130" s="547"/>
      <c r="G130" s="547"/>
      <c r="H130" s="547"/>
      <c r="I130" s="547"/>
      <c r="J130" s="547"/>
      <c r="K130" s="547"/>
      <c r="L130" s="547"/>
      <c r="M130" s="547"/>
      <c r="N130" s="547"/>
    </row>
    <row r="131" spans="1:14" x14ac:dyDescent="0.2">
      <c r="A131" s="547"/>
      <c r="B131" s="547"/>
      <c r="C131" s="547"/>
      <c r="D131" s="547"/>
      <c r="E131" s="547"/>
      <c r="F131" s="547"/>
      <c r="G131" s="547"/>
      <c r="H131" s="547"/>
      <c r="I131" s="547"/>
      <c r="J131" s="547"/>
      <c r="K131" s="547"/>
      <c r="L131" s="547"/>
      <c r="M131" s="547"/>
      <c r="N131" s="547"/>
    </row>
    <row r="132" spans="1:14" x14ac:dyDescent="0.2">
      <c r="A132" s="547"/>
      <c r="B132" s="547"/>
      <c r="C132" s="547"/>
      <c r="D132" s="547"/>
      <c r="E132" s="547"/>
      <c r="F132" s="547"/>
      <c r="G132" s="547"/>
      <c r="H132" s="547"/>
      <c r="I132" s="547"/>
      <c r="J132" s="547"/>
      <c r="K132" s="547"/>
      <c r="L132" s="547"/>
      <c r="M132" s="547"/>
      <c r="N132" s="547"/>
    </row>
    <row r="133" spans="1:14" x14ac:dyDescent="0.2">
      <c r="A133" s="547"/>
      <c r="B133" s="547"/>
      <c r="C133" s="547"/>
      <c r="D133" s="547"/>
      <c r="E133" s="547"/>
      <c r="F133" s="547"/>
      <c r="G133" s="547"/>
      <c r="H133" s="547"/>
      <c r="I133" s="547"/>
      <c r="J133" s="547"/>
      <c r="K133" s="547"/>
      <c r="L133" s="547"/>
      <c r="M133" s="547"/>
      <c r="N133" s="547"/>
    </row>
    <row r="134" spans="1:14" x14ac:dyDescent="0.2">
      <c r="A134" s="547"/>
      <c r="B134" s="547"/>
      <c r="C134" s="547"/>
      <c r="D134" s="547"/>
      <c r="E134" s="547"/>
      <c r="F134" s="547"/>
      <c r="G134" s="547"/>
      <c r="H134" s="547"/>
      <c r="I134" s="547"/>
      <c r="J134" s="547"/>
      <c r="K134" s="547"/>
      <c r="L134" s="547"/>
      <c r="M134" s="547"/>
      <c r="N134" s="547"/>
    </row>
    <row r="135" spans="1:14" x14ac:dyDescent="0.2">
      <c r="A135" s="547"/>
      <c r="B135" s="547"/>
      <c r="C135" s="547"/>
      <c r="D135" s="547"/>
      <c r="E135" s="547"/>
      <c r="F135" s="547"/>
      <c r="G135" s="547"/>
      <c r="H135" s="547"/>
      <c r="I135" s="547"/>
      <c r="J135" s="547"/>
      <c r="K135" s="547"/>
      <c r="L135" s="547"/>
      <c r="M135" s="547"/>
      <c r="N135" s="547"/>
    </row>
    <row r="136" spans="1:14" x14ac:dyDescent="0.2">
      <c r="A136" s="547"/>
      <c r="B136" s="547"/>
      <c r="C136" s="547"/>
      <c r="D136" s="547"/>
      <c r="E136" s="547"/>
      <c r="F136" s="547"/>
      <c r="G136" s="547"/>
      <c r="H136" s="547"/>
      <c r="I136" s="547"/>
      <c r="J136" s="547"/>
      <c r="K136" s="547"/>
      <c r="L136" s="547"/>
      <c r="M136" s="547"/>
      <c r="N136" s="547"/>
    </row>
    <row r="137" spans="1:14" x14ac:dyDescent="0.2">
      <c r="A137" s="547"/>
      <c r="B137" s="547"/>
      <c r="C137" s="547"/>
      <c r="D137" s="547"/>
      <c r="E137" s="547"/>
      <c r="F137" s="547"/>
      <c r="G137" s="547"/>
      <c r="H137" s="547"/>
      <c r="I137" s="547"/>
      <c r="J137" s="547"/>
      <c r="K137" s="547"/>
      <c r="L137" s="547"/>
      <c r="M137" s="547"/>
      <c r="N137" s="547"/>
    </row>
    <row r="138" spans="1:14" x14ac:dyDescent="0.2">
      <c r="A138" s="547"/>
      <c r="B138" s="547"/>
      <c r="C138" s="547"/>
      <c r="D138" s="547"/>
      <c r="E138" s="547"/>
      <c r="F138" s="547"/>
      <c r="G138" s="547"/>
      <c r="H138" s="547"/>
      <c r="I138" s="547"/>
      <c r="J138" s="547"/>
      <c r="K138" s="547"/>
      <c r="L138" s="547"/>
      <c r="M138" s="547"/>
      <c r="N138" s="547"/>
    </row>
    <row r="139" spans="1:14" x14ac:dyDescent="0.2">
      <c r="A139" s="547"/>
      <c r="B139" s="547"/>
      <c r="C139" s="547"/>
      <c r="D139" s="547"/>
      <c r="E139" s="547"/>
      <c r="F139" s="547"/>
      <c r="G139" s="547"/>
      <c r="H139" s="547"/>
      <c r="I139" s="547"/>
      <c r="J139" s="547"/>
      <c r="K139" s="547"/>
      <c r="L139" s="547"/>
      <c r="M139" s="547"/>
      <c r="N139" s="547"/>
    </row>
    <row r="140" spans="1:14" x14ac:dyDescent="0.2">
      <c r="A140" s="547"/>
      <c r="B140" s="547"/>
      <c r="C140" s="547"/>
      <c r="D140" s="547"/>
      <c r="E140" s="547"/>
      <c r="F140" s="547"/>
      <c r="G140" s="547"/>
      <c r="H140" s="547"/>
      <c r="I140" s="547"/>
      <c r="J140" s="547"/>
      <c r="K140" s="547"/>
      <c r="L140" s="547"/>
      <c r="M140" s="547"/>
      <c r="N140" s="547"/>
    </row>
    <row r="141" spans="1:14" x14ac:dyDescent="0.2">
      <c r="A141" s="547"/>
      <c r="B141" s="547"/>
      <c r="C141" s="547"/>
      <c r="D141" s="547"/>
      <c r="E141" s="547"/>
      <c r="F141" s="547"/>
      <c r="G141" s="547"/>
      <c r="H141" s="547"/>
      <c r="I141" s="547"/>
      <c r="J141" s="547"/>
      <c r="K141" s="547"/>
      <c r="L141" s="547"/>
      <c r="M141" s="547"/>
      <c r="N141" s="547"/>
    </row>
    <row r="142" spans="1:14" x14ac:dyDescent="0.2">
      <c r="A142" s="547"/>
      <c r="B142" s="547"/>
      <c r="C142" s="547"/>
      <c r="D142" s="547"/>
      <c r="E142" s="547"/>
      <c r="F142" s="547"/>
      <c r="G142" s="547"/>
      <c r="H142" s="547"/>
      <c r="I142" s="547"/>
      <c r="J142" s="547"/>
      <c r="K142" s="547"/>
      <c r="L142" s="547"/>
      <c r="M142" s="547"/>
      <c r="N142" s="547"/>
    </row>
    <row r="143" spans="1:14" x14ac:dyDescent="0.2">
      <c r="A143" s="547"/>
      <c r="B143" s="547"/>
      <c r="C143" s="547"/>
      <c r="D143" s="547"/>
      <c r="E143" s="547"/>
      <c r="F143" s="547"/>
      <c r="G143" s="547"/>
      <c r="H143" s="547"/>
      <c r="I143" s="547"/>
      <c r="J143" s="547"/>
      <c r="K143" s="547"/>
      <c r="L143" s="547"/>
      <c r="M143" s="547"/>
      <c r="N143" s="547"/>
    </row>
    <row r="144" spans="1:14" x14ac:dyDescent="0.2">
      <c r="A144" s="547"/>
      <c r="B144" s="547"/>
      <c r="C144" s="547"/>
      <c r="D144" s="547"/>
      <c r="E144" s="547"/>
      <c r="F144" s="547"/>
      <c r="G144" s="547"/>
      <c r="H144" s="547"/>
      <c r="I144" s="547"/>
      <c r="J144" s="547"/>
      <c r="K144" s="547"/>
      <c r="L144" s="547"/>
      <c r="M144" s="547"/>
      <c r="N144" s="547"/>
    </row>
    <row r="145" spans="1:14" x14ac:dyDescent="0.2">
      <c r="A145" s="547"/>
      <c r="B145" s="547"/>
      <c r="C145" s="547"/>
      <c r="D145" s="547"/>
      <c r="E145" s="547"/>
      <c r="F145" s="547"/>
      <c r="G145" s="547"/>
      <c r="H145" s="547"/>
      <c r="I145" s="547"/>
      <c r="J145" s="547"/>
      <c r="K145" s="547"/>
      <c r="L145" s="547"/>
      <c r="M145" s="547"/>
      <c r="N145" s="547"/>
    </row>
    <row r="146" spans="1:14" x14ac:dyDescent="0.2">
      <c r="A146" s="547"/>
      <c r="B146" s="547"/>
      <c r="C146" s="547"/>
      <c r="D146" s="547"/>
      <c r="E146" s="547"/>
      <c r="F146" s="547"/>
      <c r="G146" s="547"/>
      <c r="H146" s="547"/>
      <c r="I146" s="547"/>
      <c r="J146" s="547"/>
      <c r="K146" s="547"/>
      <c r="L146" s="547"/>
      <c r="M146" s="547"/>
      <c r="N146" s="547"/>
    </row>
    <row r="147" spans="1:14" x14ac:dyDescent="0.2">
      <c r="A147" s="547"/>
      <c r="B147" s="547"/>
      <c r="C147" s="547"/>
      <c r="D147" s="547"/>
      <c r="E147" s="547"/>
      <c r="F147" s="547"/>
      <c r="G147" s="547"/>
      <c r="H147" s="547"/>
      <c r="I147" s="547"/>
      <c r="J147" s="547"/>
      <c r="K147" s="547"/>
      <c r="L147" s="547"/>
      <c r="M147" s="547"/>
      <c r="N147" s="547"/>
    </row>
    <row r="148" spans="1:14" x14ac:dyDescent="0.2">
      <c r="A148" s="547"/>
      <c r="B148" s="547"/>
      <c r="C148" s="547"/>
      <c r="D148" s="547"/>
      <c r="E148" s="547"/>
      <c r="F148" s="547"/>
      <c r="G148" s="547"/>
      <c r="H148" s="547"/>
      <c r="I148" s="547"/>
      <c r="J148" s="547"/>
      <c r="K148" s="547"/>
      <c r="L148" s="547"/>
      <c r="M148" s="547"/>
      <c r="N148" s="547"/>
    </row>
    <row r="149" spans="1:14" x14ac:dyDescent="0.2">
      <c r="A149" s="547"/>
      <c r="B149" s="547"/>
      <c r="C149" s="547"/>
      <c r="D149" s="547"/>
      <c r="E149" s="547"/>
      <c r="F149" s="547"/>
      <c r="G149" s="547"/>
      <c r="H149" s="547"/>
      <c r="I149" s="547"/>
      <c r="J149" s="547"/>
      <c r="K149" s="547"/>
      <c r="L149" s="547"/>
      <c r="M149" s="547"/>
      <c r="N149" s="547"/>
    </row>
    <row r="150" spans="1:14" x14ac:dyDescent="0.2">
      <c r="A150" s="547"/>
      <c r="B150" s="547"/>
      <c r="C150" s="547"/>
      <c r="D150" s="547"/>
      <c r="E150" s="547"/>
      <c r="F150" s="547"/>
      <c r="G150" s="547"/>
      <c r="H150" s="547"/>
      <c r="I150" s="547"/>
      <c r="J150" s="547"/>
      <c r="K150" s="547"/>
      <c r="L150" s="547"/>
      <c r="M150" s="547"/>
      <c r="N150" s="547"/>
    </row>
    <row r="151" spans="1:14" x14ac:dyDescent="0.2">
      <c r="A151" s="547"/>
      <c r="B151" s="547"/>
      <c r="C151" s="547"/>
      <c r="D151" s="547"/>
      <c r="E151" s="547"/>
      <c r="F151" s="547"/>
      <c r="G151" s="547"/>
      <c r="H151" s="547"/>
      <c r="I151" s="547"/>
      <c r="J151" s="547"/>
      <c r="K151" s="547"/>
      <c r="L151" s="547"/>
      <c r="M151" s="547"/>
      <c r="N151" s="547"/>
    </row>
    <row r="152" spans="1:14" x14ac:dyDescent="0.2">
      <c r="A152" s="547"/>
      <c r="B152" s="547"/>
      <c r="C152" s="547"/>
      <c r="D152" s="547"/>
      <c r="E152" s="547"/>
      <c r="F152" s="547"/>
      <c r="G152" s="547"/>
      <c r="H152" s="547"/>
      <c r="I152" s="547"/>
      <c r="J152" s="547"/>
      <c r="K152" s="547"/>
      <c r="L152" s="547"/>
      <c r="M152" s="547"/>
      <c r="N152" s="547"/>
    </row>
    <row r="153" spans="1:14" x14ac:dyDescent="0.2">
      <c r="A153" s="547"/>
      <c r="B153" s="547"/>
      <c r="C153" s="547"/>
      <c r="D153" s="547"/>
      <c r="E153" s="547"/>
      <c r="F153" s="547"/>
      <c r="G153" s="547"/>
      <c r="H153" s="547"/>
      <c r="I153" s="547"/>
      <c r="J153" s="547"/>
      <c r="K153" s="547"/>
      <c r="L153" s="547"/>
      <c r="M153" s="547"/>
      <c r="N153" s="547"/>
    </row>
    <row r="154" spans="1:14" x14ac:dyDescent="0.2">
      <c r="A154" s="547"/>
      <c r="B154" s="547"/>
      <c r="C154" s="547"/>
      <c r="D154" s="547"/>
      <c r="E154" s="547"/>
      <c r="F154" s="547"/>
      <c r="G154" s="547"/>
      <c r="H154" s="547"/>
      <c r="I154" s="547"/>
      <c r="J154" s="547"/>
      <c r="K154" s="547"/>
      <c r="L154" s="547"/>
      <c r="M154" s="547"/>
      <c r="N154" s="547"/>
    </row>
    <row r="155" spans="1:14" x14ac:dyDescent="0.2">
      <c r="A155" s="547"/>
      <c r="B155" s="547"/>
      <c r="C155" s="547"/>
      <c r="D155" s="547"/>
      <c r="E155" s="547"/>
      <c r="F155" s="547"/>
      <c r="G155" s="547"/>
      <c r="H155" s="547"/>
      <c r="I155" s="547"/>
      <c r="J155" s="547"/>
      <c r="K155" s="547"/>
      <c r="L155" s="547"/>
      <c r="M155" s="547"/>
      <c r="N155" s="547"/>
    </row>
    <row r="156" spans="1:14" x14ac:dyDescent="0.2">
      <c r="A156" s="547"/>
      <c r="B156" s="547"/>
      <c r="C156" s="547"/>
      <c r="D156" s="547"/>
      <c r="E156" s="547"/>
      <c r="F156" s="547"/>
      <c r="G156" s="547"/>
      <c r="H156" s="547"/>
      <c r="I156" s="547"/>
      <c r="J156" s="547"/>
      <c r="K156" s="547"/>
      <c r="L156" s="547"/>
      <c r="M156" s="547"/>
      <c r="N156" s="547"/>
    </row>
    <row r="157" spans="1:14" x14ac:dyDescent="0.2">
      <c r="A157" s="547"/>
      <c r="B157" s="547"/>
      <c r="C157" s="547"/>
      <c r="D157" s="547"/>
      <c r="E157" s="547"/>
      <c r="F157" s="547"/>
      <c r="G157" s="547"/>
      <c r="H157" s="547"/>
      <c r="I157" s="547"/>
      <c r="J157" s="547"/>
      <c r="K157" s="547"/>
      <c r="L157" s="547"/>
      <c r="M157" s="547"/>
      <c r="N157" s="547"/>
    </row>
    <row r="158" spans="1:14" x14ac:dyDescent="0.2">
      <c r="A158" s="547"/>
      <c r="B158" s="547"/>
      <c r="C158" s="547"/>
      <c r="D158" s="547"/>
      <c r="E158" s="547"/>
      <c r="F158" s="547"/>
      <c r="G158" s="547"/>
      <c r="H158" s="547"/>
      <c r="I158" s="547"/>
      <c r="J158" s="547"/>
      <c r="K158" s="547"/>
      <c r="L158" s="547"/>
      <c r="M158" s="547"/>
      <c r="N158" s="547"/>
    </row>
    <row r="159" spans="1:14" x14ac:dyDescent="0.2">
      <c r="A159" s="547"/>
      <c r="B159" s="547"/>
      <c r="C159" s="547"/>
      <c r="D159" s="547"/>
      <c r="E159" s="547"/>
      <c r="F159" s="547"/>
      <c r="G159" s="547"/>
      <c r="H159" s="547"/>
      <c r="I159" s="547"/>
      <c r="J159" s="547"/>
      <c r="K159" s="547"/>
      <c r="L159" s="547"/>
      <c r="M159" s="547"/>
      <c r="N159" s="547"/>
    </row>
    <row r="160" spans="1:14" x14ac:dyDescent="0.2">
      <c r="A160" s="547"/>
      <c r="B160" s="547"/>
      <c r="C160" s="547"/>
      <c r="D160" s="547"/>
      <c r="E160" s="547"/>
      <c r="F160" s="547"/>
      <c r="G160" s="547"/>
      <c r="H160" s="547"/>
      <c r="I160" s="547"/>
      <c r="J160" s="547"/>
      <c r="K160" s="547"/>
      <c r="L160" s="547"/>
      <c r="M160" s="547"/>
      <c r="N160" s="547"/>
    </row>
    <row r="161" spans="1:14" x14ac:dyDescent="0.2">
      <c r="A161" s="547"/>
      <c r="B161" s="547"/>
      <c r="C161" s="547"/>
      <c r="D161" s="547"/>
      <c r="E161" s="547"/>
      <c r="F161" s="547"/>
      <c r="G161" s="547"/>
      <c r="H161" s="547"/>
      <c r="I161" s="547"/>
      <c r="J161" s="547"/>
      <c r="K161" s="547"/>
      <c r="L161" s="547"/>
      <c r="M161" s="547"/>
      <c r="N161" s="547"/>
    </row>
    <row r="162" spans="1:14" x14ac:dyDescent="0.2">
      <c r="A162" s="547"/>
      <c r="B162" s="547"/>
      <c r="C162" s="547"/>
      <c r="D162" s="547"/>
      <c r="E162" s="547"/>
      <c r="F162" s="547"/>
      <c r="G162" s="547"/>
      <c r="H162" s="547"/>
      <c r="I162" s="547"/>
      <c r="J162" s="547"/>
      <c r="K162" s="547"/>
      <c r="L162" s="547"/>
      <c r="M162" s="547"/>
      <c r="N162" s="547"/>
    </row>
    <row r="163" spans="1:14" x14ac:dyDescent="0.2">
      <c r="A163" s="547"/>
      <c r="B163" s="547"/>
      <c r="C163" s="547"/>
      <c r="D163" s="547"/>
      <c r="E163" s="547"/>
      <c r="F163" s="547"/>
      <c r="G163" s="547"/>
      <c r="H163" s="547"/>
      <c r="I163" s="547"/>
      <c r="J163" s="547"/>
      <c r="K163" s="547"/>
      <c r="L163" s="547"/>
      <c r="M163" s="547"/>
      <c r="N163" s="547"/>
    </row>
    <row r="164" spans="1:14" x14ac:dyDescent="0.2">
      <c r="A164" s="547"/>
      <c r="B164" s="547"/>
      <c r="C164" s="547"/>
      <c r="D164" s="547"/>
      <c r="E164" s="547"/>
      <c r="F164" s="547"/>
      <c r="G164" s="547"/>
      <c r="H164" s="547"/>
      <c r="I164" s="547"/>
      <c r="J164" s="547"/>
      <c r="K164" s="547"/>
      <c r="L164" s="547"/>
      <c r="M164" s="547"/>
      <c r="N164" s="547"/>
    </row>
    <row r="165" spans="1:14" x14ac:dyDescent="0.2">
      <c r="A165" s="547"/>
      <c r="B165" s="547"/>
      <c r="C165" s="547"/>
      <c r="D165" s="547"/>
      <c r="E165" s="547"/>
      <c r="F165" s="547"/>
      <c r="G165" s="547"/>
      <c r="H165" s="547"/>
      <c r="I165" s="547"/>
      <c r="J165" s="547"/>
      <c r="K165" s="547"/>
      <c r="L165" s="547"/>
      <c r="M165" s="547"/>
      <c r="N165" s="547"/>
    </row>
    <row r="166" spans="1:14" x14ac:dyDescent="0.2">
      <c r="A166" s="547"/>
      <c r="B166" s="547"/>
      <c r="C166" s="547"/>
      <c r="D166" s="547"/>
      <c r="E166" s="547"/>
      <c r="F166" s="547"/>
      <c r="G166" s="547"/>
      <c r="H166" s="547"/>
      <c r="I166" s="547"/>
      <c r="J166" s="547"/>
      <c r="K166" s="547"/>
      <c r="L166" s="547"/>
      <c r="M166" s="547"/>
      <c r="N166" s="547"/>
    </row>
    <row r="167" spans="1:14" x14ac:dyDescent="0.2">
      <c r="A167" s="547"/>
      <c r="B167" s="547"/>
      <c r="C167" s="547"/>
      <c r="D167" s="547"/>
      <c r="E167" s="547"/>
      <c r="F167" s="547"/>
      <c r="G167" s="547"/>
      <c r="H167" s="547"/>
      <c r="I167" s="547"/>
      <c r="J167" s="547"/>
      <c r="K167" s="547"/>
      <c r="L167" s="547"/>
      <c r="M167" s="547"/>
      <c r="N167" s="547"/>
    </row>
    <row r="168" spans="1:14" x14ac:dyDescent="0.2">
      <c r="A168" s="547"/>
      <c r="B168" s="547"/>
      <c r="C168" s="547"/>
      <c r="D168" s="547"/>
      <c r="E168" s="547"/>
      <c r="F168" s="547"/>
      <c r="G168" s="547"/>
      <c r="H168" s="547"/>
      <c r="I168" s="547"/>
      <c r="J168" s="547"/>
      <c r="K168" s="547"/>
      <c r="L168" s="547"/>
      <c r="M168" s="547"/>
      <c r="N168" s="547"/>
    </row>
    <row r="169" spans="1:14" x14ac:dyDescent="0.2">
      <c r="A169" s="547"/>
      <c r="B169" s="547"/>
      <c r="C169" s="547"/>
      <c r="D169" s="547"/>
      <c r="E169" s="547"/>
      <c r="F169" s="547"/>
      <c r="G169" s="547"/>
      <c r="H169" s="547"/>
      <c r="I169" s="547"/>
      <c r="J169" s="547"/>
      <c r="K169" s="547"/>
      <c r="L169" s="547"/>
      <c r="M169" s="547"/>
      <c r="N169" s="547"/>
    </row>
    <row r="170" spans="1:14" x14ac:dyDescent="0.2">
      <c r="A170" s="547"/>
      <c r="B170" s="547"/>
      <c r="C170" s="547"/>
      <c r="D170" s="547"/>
      <c r="E170" s="547"/>
      <c r="F170" s="547"/>
      <c r="G170" s="547"/>
      <c r="H170" s="547"/>
      <c r="I170" s="547"/>
      <c r="J170" s="547"/>
      <c r="K170" s="547"/>
      <c r="L170" s="547"/>
      <c r="M170" s="547"/>
      <c r="N170" s="547"/>
    </row>
    <row r="171" spans="1:14" x14ac:dyDescent="0.2">
      <c r="A171" s="547"/>
      <c r="B171" s="547"/>
      <c r="C171" s="547"/>
      <c r="D171" s="547"/>
      <c r="E171" s="547"/>
      <c r="F171" s="547"/>
      <c r="G171" s="547"/>
      <c r="H171" s="547"/>
      <c r="I171" s="547"/>
      <c r="J171" s="547"/>
      <c r="K171" s="547"/>
      <c r="L171" s="547"/>
      <c r="M171" s="547"/>
      <c r="N171" s="547"/>
    </row>
    <row r="172" spans="1:14" x14ac:dyDescent="0.2">
      <c r="A172" s="547"/>
      <c r="B172" s="547"/>
      <c r="C172" s="547"/>
      <c r="D172" s="547"/>
      <c r="E172" s="547"/>
      <c r="F172" s="547"/>
      <c r="G172" s="547"/>
      <c r="H172" s="547"/>
      <c r="I172" s="547"/>
      <c r="J172" s="547"/>
      <c r="K172" s="547"/>
      <c r="L172" s="547"/>
      <c r="M172" s="547"/>
      <c r="N172" s="547"/>
    </row>
    <row r="173" spans="1:14" x14ac:dyDescent="0.2">
      <c r="A173" s="547"/>
      <c r="B173" s="547"/>
      <c r="C173" s="547"/>
      <c r="D173" s="547"/>
      <c r="E173" s="547"/>
      <c r="F173" s="547"/>
      <c r="G173" s="547"/>
      <c r="H173" s="547"/>
      <c r="I173" s="547"/>
      <c r="J173" s="547"/>
      <c r="K173" s="547"/>
      <c r="L173" s="547"/>
      <c r="M173" s="547"/>
      <c r="N173" s="547"/>
    </row>
    <row r="174" spans="1:14" x14ac:dyDescent="0.2">
      <c r="A174" s="547"/>
      <c r="B174" s="547"/>
      <c r="C174" s="547"/>
      <c r="D174" s="547"/>
      <c r="E174" s="547"/>
      <c r="F174" s="547"/>
      <c r="G174" s="547"/>
      <c r="H174" s="547"/>
      <c r="I174" s="547"/>
      <c r="J174" s="547"/>
      <c r="K174" s="547"/>
      <c r="L174" s="547"/>
      <c r="M174" s="547"/>
      <c r="N174" s="547"/>
    </row>
    <row r="175" spans="1:14" x14ac:dyDescent="0.2">
      <c r="A175" s="547"/>
      <c r="B175" s="547"/>
      <c r="C175" s="547"/>
      <c r="D175" s="547"/>
      <c r="E175" s="547"/>
      <c r="F175" s="547"/>
      <c r="G175" s="547"/>
      <c r="H175" s="547"/>
      <c r="I175" s="547"/>
      <c r="J175" s="547"/>
      <c r="K175" s="547"/>
      <c r="L175" s="547"/>
      <c r="M175" s="547"/>
      <c r="N175" s="547"/>
    </row>
    <row r="176" spans="1:14" x14ac:dyDescent="0.2">
      <c r="A176" s="547"/>
      <c r="B176" s="547"/>
      <c r="C176" s="547"/>
      <c r="D176" s="547"/>
      <c r="E176" s="547"/>
      <c r="F176" s="547"/>
      <c r="G176" s="547"/>
      <c r="H176" s="547"/>
      <c r="I176" s="547"/>
      <c r="J176" s="547"/>
      <c r="K176" s="547"/>
      <c r="L176" s="547"/>
      <c r="M176" s="547"/>
      <c r="N176" s="547"/>
    </row>
    <row r="177" spans="1:14" x14ac:dyDescent="0.2">
      <c r="A177" s="547"/>
      <c r="B177" s="547"/>
      <c r="C177" s="547"/>
      <c r="D177" s="547"/>
      <c r="E177" s="547"/>
      <c r="F177" s="547"/>
      <c r="G177" s="547"/>
      <c r="H177" s="547"/>
      <c r="I177" s="547"/>
      <c r="J177" s="547"/>
      <c r="K177" s="547"/>
      <c r="L177" s="547"/>
      <c r="M177" s="547"/>
      <c r="N177" s="547"/>
    </row>
    <row r="178" spans="1:14" x14ac:dyDescent="0.2">
      <c r="A178" s="547"/>
      <c r="B178" s="547"/>
      <c r="C178" s="547"/>
      <c r="D178" s="547"/>
      <c r="E178" s="547"/>
      <c r="F178" s="547"/>
      <c r="G178" s="547"/>
      <c r="H178" s="547"/>
      <c r="I178" s="547"/>
      <c r="J178" s="547"/>
      <c r="K178" s="547"/>
      <c r="L178" s="547"/>
      <c r="M178" s="547"/>
      <c r="N178" s="547"/>
    </row>
    <row r="179" spans="1:14" x14ac:dyDescent="0.2">
      <c r="A179" s="547"/>
      <c r="B179" s="547"/>
      <c r="C179" s="547"/>
      <c r="D179" s="547"/>
      <c r="E179" s="547"/>
      <c r="F179" s="547"/>
      <c r="G179" s="547"/>
      <c r="H179" s="547"/>
      <c r="I179" s="547"/>
      <c r="J179" s="547"/>
      <c r="K179" s="547"/>
      <c r="L179" s="547"/>
      <c r="M179" s="547"/>
      <c r="N179" s="547"/>
    </row>
    <row r="180" spans="1:14" x14ac:dyDescent="0.2">
      <c r="A180" s="547"/>
      <c r="B180" s="547"/>
      <c r="C180" s="547"/>
      <c r="D180" s="547"/>
      <c r="E180" s="547"/>
      <c r="F180" s="547"/>
      <c r="G180" s="547"/>
      <c r="H180" s="547"/>
      <c r="I180" s="547"/>
      <c r="J180" s="547"/>
      <c r="K180" s="547"/>
      <c r="L180" s="547"/>
      <c r="M180" s="547"/>
      <c r="N180" s="547"/>
    </row>
    <row r="181" spans="1:14" x14ac:dyDescent="0.2">
      <c r="A181" s="547"/>
      <c r="B181" s="547"/>
      <c r="C181" s="547"/>
      <c r="D181" s="547"/>
      <c r="E181" s="547"/>
      <c r="F181" s="547"/>
      <c r="G181" s="547"/>
      <c r="H181" s="547"/>
      <c r="I181" s="547"/>
      <c r="J181" s="547"/>
      <c r="K181" s="547"/>
      <c r="L181" s="547"/>
      <c r="M181" s="547"/>
      <c r="N181" s="547"/>
    </row>
    <row r="182" spans="1:14" x14ac:dyDescent="0.2">
      <c r="A182" s="547"/>
      <c r="B182" s="547"/>
      <c r="C182" s="547"/>
      <c r="D182" s="547"/>
      <c r="E182" s="547"/>
      <c r="F182" s="547"/>
      <c r="G182" s="547"/>
      <c r="H182" s="547"/>
      <c r="I182" s="547"/>
      <c r="J182" s="547"/>
      <c r="K182" s="547"/>
      <c r="L182" s="547"/>
      <c r="M182" s="547"/>
      <c r="N182" s="547"/>
    </row>
    <row r="183" spans="1:14" x14ac:dyDescent="0.2">
      <c r="A183" s="547"/>
      <c r="B183" s="547"/>
      <c r="C183" s="547"/>
      <c r="D183" s="547"/>
      <c r="E183" s="547"/>
      <c r="F183" s="547"/>
      <c r="G183" s="547"/>
      <c r="H183" s="547"/>
      <c r="I183" s="547"/>
      <c r="J183" s="547"/>
      <c r="K183" s="547"/>
      <c r="L183" s="547"/>
      <c r="M183" s="547"/>
      <c r="N183" s="547"/>
    </row>
    <row r="184" spans="1:14" x14ac:dyDescent="0.2">
      <c r="A184" s="547"/>
      <c r="B184" s="547"/>
      <c r="C184" s="547"/>
      <c r="D184" s="547"/>
      <c r="E184" s="547"/>
      <c r="F184" s="547"/>
      <c r="G184" s="547"/>
      <c r="H184" s="547"/>
      <c r="I184" s="547"/>
      <c r="J184" s="547"/>
      <c r="K184" s="547"/>
      <c r="L184" s="547"/>
      <c r="M184" s="547"/>
      <c r="N184" s="547"/>
    </row>
    <row r="185" spans="1:14" x14ac:dyDescent="0.2">
      <c r="A185" s="547"/>
      <c r="B185" s="547"/>
      <c r="C185" s="547"/>
      <c r="D185" s="547"/>
      <c r="E185" s="547"/>
      <c r="F185" s="547"/>
      <c r="G185" s="547"/>
      <c r="H185" s="547"/>
      <c r="I185" s="547"/>
      <c r="J185" s="547"/>
      <c r="K185" s="547"/>
      <c r="L185" s="547"/>
      <c r="M185" s="547"/>
      <c r="N185" s="547"/>
    </row>
    <row r="186" spans="1:14" x14ac:dyDescent="0.2">
      <c r="A186" s="547"/>
      <c r="B186" s="547"/>
      <c r="C186" s="547"/>
      <c r="D186" s="547"/>
      <c r="E186" s="547"/>
      <c r="F186" s="547"/>
      <c r="G186" s="547"/>
      <c r="H186" s="547"/>
      <c r="I186" s="547"/>
      <c r="J186" s="547"/>
      <c r="K186" s="547"/>
      <c r="L186" s="547"/>
      <c r="M186" s="547"/>
      <c r="N186" s="547"/>
    </row>
    <row r="187" spans="1:14" x14ac:dyDescent="0.2">
      <c r="A187" s="547"/>
      <c r="B187" s="547"/>
      <c r="C187" s="547"/>
      <c r="D187" s="547"/>
      <c r="E187" s="547"/>
      <c r="F187" s="547"/>
      <c r="G187" s="547"/>
      <c r="H187" s="547"/>
      <c r="I187" s="547"/>
      <c r="J187" s="547"/>
      <c r="K187" s="547"/>
      <c r="L187" s="547"/>
      <c r="M187" s="547"/>
      <c r="N187" s="547"/>
    </row>
    <row r="188" spans="1:14" x14ac:dyDescent="0.2">
      <c r="A188" s="547"/>
      <c r="B188" s="547"/>
      <c r="C188" s="547"/>
      <c r="D188" s="547"/>
      <c r="E188" s="547"/>
      <c r="F188" s="547"/>
      <c r="G188" s="547"/>
      <c r="H188" s="547"/>
      <c r="I188" s="547"/>
      <c r="J188" s="547"/>
      <c r="K188" s="547"/>
      <c r="L188" s="547"/>
      <c r="M188" s="547"/>
      <c r="N188" s="547"/>
    </row>
    <row r="189" spans="1:14" x14ac:dyDescent="0.2">
      <c r="A189" s="547"/>
      <c r="B189" s="547"/>
      <c r="C189" s="547"/>
      <c r="D189" s="547"/>
      <c r="E189" s="547"/>
      <c r="F189" s="547"/>
      <c r="G189" s="547"/>
      <c r="H189" s="547"/>
      <c r="I189" s="547"/>
      <c r="J189" s="547"/>
      <c r="K189" s="547"/>
      <c r="L189" s="547"/>
      <c r="M189" s="547"/>
      <c r="N189" s="547"/>
    </row>
    <row r="190" spans="1:14" x14ac:dyDescent="0.2">
      <c r="A190" s="547"/>
      <c r="B190" s="547"/>
      <c r="C190" s="547"/>
      <c r="D190" s="547"/>
      <c r="E190" s="547"/>
      <c r="F190" s="547"/>
      <c r="G190" s="547"/>
      <c r="H190" s="547"/>
      <c r="I190" s="547"/>
      <c r="J190" s="547"/>
      <c r="K190" s="547"/>
      <c r="L190" s="547"/>
      <c r="M190" s="547"/>
      <c r="N190" s="547"/>
    </row>
    <row r="191" spans="1:14" x14ac:dyDescent="0.2">
      <c r="A191" s="547"/>
      <c r="B191" s="547"/>
      <c r="C191" s="547"/>
      <c r="D191" s="547"/>
      <c r="E191" s="547"/>
      <c r="F191" s="547"/>
      <c r="G191" s="547"/>
      <c r="H191" s="547"/>
      <c r="I191" s="547"/>
      <c r="J191" s="547"/>
      <c r="K191" s="547"/>
      <c r="L191" s="547"/>
      <c r="M191" s="547"/>
      <c r="N191" s="547"/>
    </row>
    <row r="192" spans="1:14" x14ac:dyDescent="0.2">
      <c r="A192" s="547"/>
      <c r="B192" s="547"/>
      <c r="C192" s="547"/>
      <c r="D192" s="547"/>
      <c r="E192" s="547"/>
      <c r="F192" s="547"/>
      <c r="G192" s="547"/>
      <c r="H192" s="547"/>
      <c r="I192" s="547"/>
      <c r="J192" s="547"/>
      <c r="K192" s="547"/>
      <c r="L192" s="547"/>
      <c r="M192" s="547"/>
      <c r="N192" s="547"/>
    </row>
    <row r="193" spans="1:14" x14ac:dyDescent="0.2">
      <c r="A193" s="547"/>
      <c r="B193" s="547"/>
      <c r="C193" s="547"/>
      <c r="D193" s="547"/>
      <c r="E193" s="547"/>
      <c r="F193" s="547"/>
      <c r="G193" s="547"/>
      <c r="H193" s="547"/>
      <c r="I193" s="547"/>
      <c r="J193" s="547"/>
      <c r="K193" s="547"/>
      <c r="L193" s="547"/>
      <c r="M193" s="547"/>
      <c r="N193" s="547"/>
    </row>
    <row r="194" spans="1:14" x14ac:dyDescent="0.2">
      <c r="A194" s="547"/>
      <c r="B194" s="547"/>
      <c r="C194" s="547"/>
      <c r="D194" s="547"/>
      <c r="E194" s="547"/>
      <c r="F194" s="547"/>
      <c r="G194" s="547"/>
      <c r="H194" s="547"/>
      <c r="I194" s="547"/>
      <c r="J194" s="547"/>
      <c r="K194" s="547"/>
      <c r="L194" s="547"/>
      <c r="M194" s="547"/>
      <c r="N194" s="547"/>
    </row>
    <row r="195" spans="1:14" x14ac:dyDescent="0.2">
      <c r="A195" s="547"/>
      <c r="B195" s="547"/>
      <c r="C195" s="547"/>
      <c r="D195" s="547"/>
      <c r="E195" s="547"/>
      <c r="F195" s="547"/>
      <c r="G195" s="547"/>
      <c r="H195" s="547"/>
      <c r="I195" s="547"/>
      <c r="J195" s="547"/>
      <c r="K195" s="547"/>
      <c r="L195" s="547"/>
      <c r="M195" s="547"/>
      <c r="N195" s="547"/>
    </row>
    <row r="196" spans="1:14" x14ac:dyDescent="0.2">
      <c r="A196" s="547"/>
      <c r="B196" s="547"/>
      <c r="C196" s="547"/>
      <c r="D196" s="547"/>
      <c r="E196" s="547"/>
      <c r="F196" s="547"/>
      <c r="G196" s="547"/>
      <c r="H196" s="547"/>
      <c r="I196" s="547"/>
      <c r="J196" s="547"/>
      <c r="K196" s="547"/>
      <c r="L196" s="547"/>
      <c r="M196" s="547"/>
      <c r="N196" s="547"/>
    </row>
    <row r="197" spans="1:14" x14ac:dyDescent="0.2">
      <c r="A197" s="547"/>
      <c r="B197" s="547"/>
      <c r="C197" s="547"/>
      <c r="D197" s="547"/>
      <c r="E197" s="547"/>
      <c r="F197" s="547"/>
      <c r="G197" s="547"/>
      <c r="H197" s="547"/>
      <c r="I197" s="547"/>
      <c r="J197" s="547"/>
      <c r="K197" s="547"/>
      <c r="L197" s="547"/>
      <c r="M197" s="547"/>
      <c r="N197" s="547"/>
    </row>
    <row r="198" spans="1:14" x14ac:dyDescent="0.2">
      <c r="A198" s="547"/>
      <c r="B198" s="547"/>
      <c r="C198" s="547"/>
      <c r="D198" s="547"/>
      <c r="E198" s="547"/>
      <c r="F198" s="547"/>
      <c r="G198" s="547"/>
      <c r="H198" s="547"/>
      <c r="I198" s="547"/>
      <c r="J198" s="547"/>
      <c r="K198" s="547"/>
      <c r="L198" s="547"/>
      <c r="M198" s="547"/>
      <c r="N198" s="547"/>
    </row>
    <row r="199" spans="1:14" x14ac:dyDescent="0.2">
      <c r="A199" s="547"/>
      <c r="B199" s="547"/>
      <c r="C199" s="547"/>
      <c r="D199" s="547"/>
      <c r="E199" s="547"/>
      <c r="F199" s="547"/>
      <c r="G199" s="547"/>
      <c r="H199" s="547"/>
      <c r="I199" s="547"/>
      <c r="J199" s="547"/>
      <c r="K199" s="547"/>
      <c r="L199" s="547"/>
      <c r="M199" s="547"/>
      <c r="N199" s="547"/>
    </row>
    <row r="200" spans="1:14" x14ac:dyDescent="0.2">
      <c r="A200" s="547"/>
      <c r="B200" s="547"/>
      <c r="C200" s="547"/>
      <c r="D200" s="547"/>
      <c r="E200" s="547"/>
      <c r="F200" s="547"/>
      <c r="G200" s="547"/>
      <c r="H200" s="547"/>
      <c r="I200" s="547"/>
      <c r="J200" s="547"/>
      <c r="K200" s="547"/>
      <c r="L200" s="547"/>
      <c r="M200" s="547"/>
      <c r="N200" s="547"/>
    </row>
    <row r="201" spans="1:14" x14ac:dyDescent="0.2">
      <c r="A201" s="547"/>
      <c r="B201" s="547"/>
      <c r="C201" s="547"/>
      <c r="D201" s="547"/>
      <c r="E201" s="547"/>
      <c r="F201" s="547"/>
      <c r="G201" s="547"/>
      <c r="H201" s="547"/>
      <c r="I201" s="547"/>
      <c r="J201" s="547"/>
      <c r="K201" s="547"/>
      <c r="L201" s="547"/>
      <c r="M201" s="547"/>
      <c r="N201" s="547"/>
    </row>
    <row r="202" spans="1:14" x14ac:dyDescent="0.2">
      <c r="A202" s="547"/>
      <c r="B202" s="547"/>
      <c r="C202" s="547"/>
      <c r="D202" s="547"/>
      <c r="E202" s="547"/>
      <c r="F202" s="547"/>
      <c r="G202" s="547"/>
      <c r="H202" s="547"/>
      <c r="I202" s="547"/>
      <c r="J202" s="547"/>
      <c r="K202" s="547"/>
      <c r="L202" s="547"/>
      <c r="M202" s="547"/>
      <c r="N202" s="547"/>
    </row>
    <row r="203" spans="1:14" x14ac:dyDescent="0.2">
      <c r="A203" s="547"/>
      <c r="B203" s="547"/>
      <c r="C203" s="547"/>
      <c r="D203" s="547"/>
      <c r="E203" s="547"/>
      <c r="F203" s="547"/>
      <c r="G203" s="547"/>
      <c r="H203" s="547"/>
      <c r="I203" s="547"/>
      <c r="J203" s="547"/>
      <c r="K203" s="547"/>
      <c r="L203" s="547"/>
      <c r="M203" s="547"/>
      <c r="N203" s="547"/>
    </row>
    <row r="204" spans="1:14" x14ac:dyDescent="0.2">
      <c r="A204" s="547"/>
      <c r="B204" s="547"/>
      <c r="C204" s="547"/>
      <c r="D204" s="547"/>
      <c r="E204" s="547"/>
      <c r="F204" s="547"/>
      <c r="G204" s="547"/>
      <c r="H204" s="547"/>
      <c r="I204" s="547"/>
      <c r="J204" s="547"/>
      <c r="K204" s="547"/>
      <c r="L204" s="547"/>
      <c r="M204" s="547"/>
      <c r="N204" s="547"/>
    </row>
    <row r="205" spans="1:14" x14ac:dyDescent="0.2">
      <c r="A205" s="547"/>
      <c r="B205" s="547"/>
      <c r="C205" s="547"/>
      <c r="D205" s="547"/>
      <c r="E205" s="547"/>
      <c r="F205" s="547"/>
      <c r="G205" s="547"/>
      <c r="H205" s="547"/>
      <c r="I205" s="547"/>
      <c r="J205" s="547"/>
      <c r="K205" s="547"/>
      <c r="L205" s="547"/>
      <c r="M205" s="547"/>
      <c r="N205" s="547"/>
    </row>
    <row r="206" spans="1:14" x14ac:dyDescent="0.2">
      <c r="A206" s="547"/>
      <c r="B206" s="547"/>
      <c r="C206" s="547"/>
      <c r="D206" s="547"/>
      <c r="E206" s="547"/>
      <c r="F206" s="547"/>
      <c r="G206" s="547"/>
      <c r="H206" s="547"/>
      <c r="I206" s="547"/>
      <c r="J206" s="547"/>
      <c r="K206" s="547"/>
      <c r="L206" s="547"/>
      <c r="M206" s="547"/>
      <c r="N206" s="547"/>
    </row>
    <row r="207" spans="1:14" x14ac:dyDescent="0.2">
      <c r="A207" s="547"/>
      <c r="B207" s="547"/>
      <c r="C207" s="547"/>
      <c r="D207" s="547"/>
      <c r="E207" s="547"/>
      <c r="F207" s="547"/>
      <c r="G207" s="547"/>
      <c r="H207" s="547"/>
      <c r="I207" s="547"/>
      <c r="J207" s="547"/>
      <c r="K207" s="547"/>
      <c r="L207" s="547"/>
      <c r="M207" s="547"/>
      <c r="N207" s="547"/>
    </row>
    <row r="208" spans="1:14" x14ac:dyDescent="0.2">
      <c r="A208" s="547"/>
      <c r="B208" s="547"/>
      <c r="C208" s="547"/>
      <c r="D208" s="547"/>
      <c r="E208" s="547"/>
      <c r="F208" s="547"/>
      <c r="G208" s="547"/>
      <c r="H208" s="547"/>
      <c r="I208" s="547"/>
      <c r="J208" s="547"/>
      <c r="K208" s="547"/>
      <c r="L208" s="547"/>
      <c r="M208" s="547"/>
      <c r="N208" s="547"/>
    </row>
    <row r="209" spans="1:14" x14ac:dyDescent="0.2">
      <c r="A209" s="547"/>
      <c r="B209" s="547"/>
      <c r="C209" s="547"/>
      <c r="D209" s="547"/>
      <c r="E209" s="547"/>
      <c r="F209" s="547"/>
      <c r="G209" s="547"/>
      <c r="H209" s="547"/>
      <c r="I209" s="547"/>
      <c r="J209" s="547"/>
      <c r="K209" s="547"/>
      <c r="L209" s="547"/>
      <c r="M209" s="547"/>
      <c r="N209" s="547"/>
    </row>
    <row r="210" spans="1:14" x14ac:dyDescent="0.2">
      <c r="A210" s="547"/>
      <c r="B210" s="547"/>
      <c r="C210" s="547"/>
      <c r="D210" s="547"/>
      <c r="E210" s="547"/>
      <c r="F210" s="547"/>
      <c r="G210" s="547"/>
      <c r="H210" s="547"/>
      <c r="I210" s="547"/>
      <c r="J210" s="547"/>
      <c r="K210" s="547"/>
      <c r="L210" s="547"/>
      <c r="M210" s="547"/>
      <c r="N210" s="547"/>
    </row>
    <row r="211" spans="1:14" x14ac:dyDescent="0.2">
      <c r="A211" s="547"/>
      <c r="B211" s="547"/>
      <c r="C211" s="547"/>
      <c r="D211" s="547"/>
      <c r="E211" s="547"/>
      <c r="F211" s="547"/>
      <c r="G211" s="547"/>
      <c r="H211" s="547"/>
      <c r="I211" s="547"/>
      <c r="J211" s="547"/>
      <c r="K211" s="547"/>
      <c r="L211" s="547"/>
      <c r="M211" s="547"/>
      <c r="N211" s="547"/>
    </row>
    <row r="212" spans="1:14" x14ac:dyDescent="0.2">
      <c r="A212" s="547"/>
      <c r="B212" s="547"/>
      <c r="C212" s="547"/>
      <c r="D212" s="547"/>
      <c r="E212" s="547"/>
      <c r="F212" s="547"/>
      <c r="G212" s="547"/>
      <c r="H212" s="547"/>
      <c r="I212" s="547"/>
      <c r="J212" s="547"/>
      <c r="K212" s="547"/>
      <c r="L212" s="547"/>
      <c r="M212" s="547"/>
      <c r="N212" s="547"/>
    </row>
    <row r="213" spans="1:14" x14ac:dyDescent="0.2">
      <c r="A213" s="547"/>
      <c r="B213" s="547"/>
      <c r="C213" s="547"/>
      <c r="D213" s="547"/>
      <c r="E213" s="547"/>
      <c r="F213" s="547"/>
      <c r="G213" s="547"/>
      <c r="H213" s="547"/>
      <c r="I213" s="547"/>
      <c r="J213" s="547"/>
      <c r="K213" s="547"/>
      <c r="L213" s="547"/>
      <c r="M213" s="547"/>
      <c r="N213" s="547"/>
    </row>
    <row r="214" spans="1:14" x14ac:dyDescent="0.2">
      <c r="A214" s="547"/>
      <c r="B214" s="547"/>
      <c r="C214" s="547"/>
      <c r="D214" s="547"/>
      <c r="E214" s="547"/>
      <c r="F214" s="547"/>
      <c r="G214" s="547"/>
      <c r="H214" s="547"/>
      <c r="I214" s="547"/>
      <c r="J214" s="547"/>
      <c r="K214" s="547"/>
      <c r="L214" s="547"/>
      <c r="M214" s="547"/>
      <c r="N214" s="547"/>
    </row>
    <row r="215" spans="1:14" x14ac:dyDescent="0.2">
      <c r="A215" s="547"/>
      <c r="B215" s="547"/>
      <c r="C215" s="547"/>
      <c r="D215" s="547"/>
      <c r="E215" s="547"/>
      <c r="F215" s="547"/>
      <c r="G215" s="547"/>
      <c r="H215" s="547"/>
      <c r="I215" s="547"/>
      <c r="J215" s="547"/>
      <c r="K215" s="547"/>
      <c r="L215" s="547"/>
      <c r="M215" s="547"/>
      <c r="N215" s="547"/>
    </row>
    <row r="216" spans="1:14" x14ac:dyDescent="0.2">
      <c r="A216" s="547"/>
      <c r="B216" s="547"/>
      <c r="C216" s="547"/>
      <c r="D216" s="547"/>
      <c r="E216" s="547"/>
      <c r="F216" s="547"/>
      <c r="G216" s="547"/>
      <c r="H216" s="547"/>
      <c r="I216" s="547"/>
      <c r="J216" s="547"/>
      <c r="K216" s="547"/>
      <c r="L216" s="547"/>
      <c r="M216" s="547"/>
      <c r="N216" s="547"/>
    </row>
    <row r="217" spans="1:14" x14ac:dyDescent="0.2">
      <c r="A217" s="547"/>
      <c r="B217" s="547"/>
      <c r="C217" s="547"/>
      <c r="D217" s="547"/>
      <c r="E217" s="547"/>
      <c r="F217" s="547"/>
      <c r="G217" s="547"/>
      <c r="H217" s="547"/>
      <c r="I217" s="547"/>
      <c r="J217" s="547"/>
      <c r="K217" s="547"/>
      <c r="L217" s="547"/>
      <c r="M217" s="547"/>
      <c r="N217" s="547"/>
    </row>
    <row r="218" spans="1:14" x14ac:dyDescent="0.2">
      <c r="A218" s="547"/>
      <c r="B218" s="547"/>
      <c r="C218" s="547"/>
      <c r="D218" s="547"/>
      <c r="E218" s="547"/>
      <c r="F218" s="547"/>
      <c r="G218" s="547"/>
      <c r="H218" s="547"/>
      <c r="I218" s="547"/>
      <c r="J218" s="547"/>
      <c r="K218" s="547"/>
      <c r="L218" s="547"/>
      <c r="M218" s="547"/>
      <c r="N218" s="547"/>
    </row>
    <row r="219" spans="1:14" x14ac:dyDescent="0.2">
      <c r="A219" s="547"/>
      <c r="B219" s="547"/>
      <c r="C219" s="547"/>
      <c r="D219" s="547"/>
      <c r="E219" s="547"/>
      <c r="F219" s="547"/>
      <c r="G219" s="547"/>
      <c r="H219" s="547"/>
      <c r="I219" s="547"/>
      <c r="J219" s="547"/>
      <c r="K219" s="547"/>
      <c r="L219" s="547"/>
      <c r="M219" s="547"/>
      <c r="N219" s="547"/>
    </row>
    <row r="220" spans="1:14" x14ac:dyDescent="0.2">
      <c r="A220" s="547"/>
      <c r="B220" s="547"/>
      <c r="C220" s="547"/>
      <c r="D220" s="547"/>
      <c r="E220" s="547"/>
      <c r="F220" s="547"/>
      <c r="G220" s="547"/>
      <c r="H220" s="547"/>
      <c r="I220" s="547"/>
      <c r="J220" s="547"/>
      <c r="K220" s="547"/>
      <c r="L220" s="547"/>
      <c r="M220" s="547"/>
      <c r="N220" s="547"/>
    </row>
    <row r="221" spans="1:14" x14ac:dyDescent="0.2">
      <c r="A221" s="547"/>
      <c r="B221" s="547"/>
      <c r="C221" s="547"/>
      <c r="D221" s="547"/>
      <c r="E221" s="547"/>
      <c r="F221" s="547"/>
      <c r="G221" s="547"/>
      <c r="H221" s="547"/>
      <c r="I221" s="547"/>
      <c r="J221" s="547"/>
      <c r="K221" s="547"/>
      <c r="L221" s="547"/>
      <c r="M221" s="547"/>
      <c r="N221" s="547"/>
    </row>
    <row r="222" spans="1:14" x14ac:dyDescent="0.2">
      <c r="A222" s="547"/>
      <c r="B222" s="547"/>
      <c r="C222" s="547"/>
      <c r="D222" s="547"/>
      <c r="E222" s="547"/>
      <c r="F222" s="547"/>
      <c r="G222" s="547"/>
      <c r="H222" s="547"/>
      <c r="I222" s="547"/>
      <c r="J222" s="547"/>
      <c r="K222" s="547"/>
      <c r="L222" s="547"/>
      <c r="M222" s="547"/>
      <c r="N222" s="547"/>
    </row>
    <row r="223" spans="1:14" x14ac:dyDescent="0.2">
      <c r="A223" s="547"/>
      <c r="B223" s="547"/>
      <c r="C223" s="547"/>
      <c r="D223" s="547"/>
      <c r="E223" s="547"/>
      <c r="F223" s="547"/>
      <c r="G223" s="547"/>
      <c r="H223" s="547"/>
      <c r="I223" s="547"/>
      <c r="J223" s="547"/>
      <c r="K223" s="547"/>
      <c r="L223" s="547"/>
      <c r="M223" s="547"/>
      <c r="N223" s="547"/>
    </row>
    <row r="224" spans="1:14" x14ac:dyDescent="0.2">
      <c r="A224" s="547"/>
      <c r="B224" s="547"/>
      <c r="C224" s="547"/>
      <c r="D224" s="547"/>
      <c r="E224" s="547"/>
      <c r="F224" s="547"/>
      <c r="G224" s="547"/>
      <c r="H224" s="547"/>
      <c r="I224" s="547"/>
      <c r="J224" s="547"/>
      <c r="K224" s="547"/>
      <c r="L224" s="547"/>
      <c r="M224" s="547"/>
      <c r="N224" s="547"/>
    </row>
    <row r="225" spans="1:14" x14ac:dyDescent="0.2">
      <c r="A225" s="547"/>
      <c r="B225" s="547"/>
      <c r="C225" s="547"/>
      <c r="D225" s="547"/>
      <c r="E225" s="547"/>
      <c r="F225" s="547"/>
      <c r="G225" s="547"/>
      <c r="H225" s="547"/>
      <c r="I225" s="547"/>
      <c r="J225" s="547"/>
      <c r="K225" s="547"/>
      <c r="L225" s="547"/>
      <c r="M225" s="547"/>
      <c r="N225" s="547"/>
    </row>
    <row r="226" spans="1:14" x14ac:dyDescent="0.2">
      <c r="A226" s="547"/>
      <c r="B226" s="547"/>
      <c r="C226" s="547"/>
      <c r="D226" s="547"/>
      <c r="E226" s="547"/>
      <c r="F226" s="547"/>
      <c r="G226" s="547"/>
      <c r="H226" s="547"/>
      <c r="I226" s="547"/>
      <c r="J226" s="547"/>
      <c r="K226" s="547"/>
      <c r="L226" s="547"/>
      <c r="M226" s="547"/>
      <c r="N226" s="547"/>
    </row>
    <row r="227" spans="1:14" x14ac:dyDescent="0.2">
      <c r="A227" s="547"/>
      <c r="B227" s="547"/>
      <c r="C227" s="547"/>
      <c r="D227" s="547"/>
      <c r="E227" s="547"/>
      <c r="F227" s="547"/>
      <c r="G227" s="547"/>
      <c r="H227" s="547"/>
      <c r="I227" s="547"/>
      <c r="J227" s="547"/>
      <c r="K227" s="547"/>
      <c r="L227" s="547"/>
      <c r="M227" s="547"/>
      <c r="N227" s="547"/>
    </row>
    <row r="228" spans="1:14" x14ac:dyDescent="0.2">
      <c r="A228" s="547"/>
      <c r="B228" s="547"/>
      <c r="C228" s="547"/>
      <c r="D228" s="547"/>
      <c r="E228" s="547"/>
      <c r="F228" s="547"/>
      <c r="G228" s="547"/>
      <c r="H228" s="547"/>
      <c r="I228" s="547"/>
      <c r="J228" s="547"/>
      <c r="K228" s="547"/>
      <c r="L228" s="547"/>
      <c r="M228" s="547"/>
      <c r="N228" s="547"/>
    </row>
    <row r="229" spans="1:14" x14ac:dyDescent="0.2">
      <c r="A229" s="547"/>
      <c r="B229" s="547"/>
      <c r="C229" s="547"/>
      <c r="D229" s="547"/>
      <c r="E229" s="547"/>
      <c r="F229" s="547"/>
      <c r="G229" s="547"/>
      <c r="H229" s="547"/>
      <c r="I229" s="547"/>
      <c r="J229" s="547"/>
      <c r="K229" s="547"/>
      <c r="L229" s="547"/>
      <c r="M229" s="547"/>
      <c r="N229" s="547"/>
    </row>
    <row r="230" spans="1:14" x14ac:dyDescent="0.2">
      <c r="A230" s="547"/>
      <c r="B230" s="547"/>
      <c r="C230" s="547"/>
      <c r="D230" s="547"/>
      <c r="E230" s="547"/>
      <c r="F230" s="547"/>
      <c r="G230" s="547"/>
      <c r="H230" s="547"/>
      <c r="I230" s="547"/>
      <c r="J230" s="547"/>
      <c r="K230" s="547"/>
      <c r="L230" s="547"/>
      <c r="M230" s="547"/>
      <c r="N230" s="547"/>
    </row>
    <row r="231" spans="1:14" x14ac:dyDescent="0.2">
      <c r="A231" s="547"/>
      <c r="B231" s="547"/>
      <c r="C231" s="547"/>
      <c r="D231" s="547"/>
      <c r="E231" s="547"/>
      <c r="F231" s="547"/>
      <c r="G231" s="547"/>
      <c r="H231" s="547"/>
      <c r="I231" s="547"/>
      <c r="J231" s="547"/>
      <c r="K231" s="547"/>
      <c r="L231" s="547"/>
      <c r="M231" s="547"/>
      <c r="N231" s="547"/>
    </row>
    <row r="232" spans="1:14" x14ac:dyDescent="0.2">
      <c r="A232" s="547"/>
      <c r="B232" s="547"/>
      <c r="C232" s="547"/>
      <c r="D232" s="547"/>
      <c r="E232" s="547"/>
      <c r="F232" s="547"/>
      <c r="G232" s="547"/>
      <c r="H232" s="547"/>
      <c r="I232" s="547"/>
      <c r="J232" s="547"/>
      <c r="K232" s="547"/>
      <c r="L232" s="547"/>
      <c r="M232" s="547"/>
      <c r="N232" s="547"/>
    </row>
    <row r="233" spans="1:14" x14ac:dyDescent="0.2">
      <c r="A233" s="547"/>
      <c r="B233" s="547"/>
      <c r="C233" s="547"/>
      <c r="D233" s="547"/>
      <c r="E233" s="547"/>
      <c r="F233" s="547"/>
      <c r="G233" s="547"/>
      <c r="H233" s="547"/>
      <c r="I233" s="547"/>
      <c r="J233" s="547"/>
      <c r="K233" s="547"/>
      <c r="L233" s="547"/>
      <c r="M233" s="547"/>
      <c r="N233" s="547"/>
    </row>
    <row r="234" spans="1:14" x14ac:dyDescent="0.2">
      <c r="A234" s="547"/>
      <c r="B234" s="547"/>
      <c r="C234" s="547"/>
      <c r="D234" s="547"/>
      <c r="E234" s="547"/>
      <c r="F234" s="547"/>
      <c r="G234" s="547"/>
      <c r="H234" s="547"/>
      <c r="I234" s="547"/>
      <c r="J234" s="547"/>
      <c r="K234" s="547"/>
      <c r="L234" s="547"/>
      <c r="M234" s="547"/>
      <c r="N234" s="547"/>
    </row>
    <row r="235" spans="1:14" x14ac:dyDescent="0.2">
      <c r="A235" s="547"/>
      <c r="B235" s="547"/>
      <c r="C235" s="547"/>
      <c r="D235" s="547"/>
      <c r="E235" s="547"/>
      <c r="F235" s="547"/>
      <c r="G235" s="547"/>
      <c r="H235" s="547"/>
      <c r="I235" s="547"/>
      <c r="J235" s="547"/>
      <c r="K235" s="547"/>
      <c r="L235" s="547"/>
      <c r="M235" s="547"/>
      <c r="N235" s="547"/>
    </row>
    <row r="236" spans="1:14" x14ac:dyDescent="0.2">
      <c r="A236" s="547"/>
      <c r="B236" s="547"/>
      <c r="C236" s="547"/>
      <c r="D236" s="547"/>
      <c r="E236" s="547"/>
      <c r="F236" s="547"/>
      <c r="G236" s="547"/>
      <c r="H236" s="547"/>
      <c r="I236" s="547"/>
      <c r="J236" s="547"/>
      <c r="K236" s="547"/>
      <c r="L236" s="547"/>
      <c r="M236" s="547"/>
      <c r="N236" s="547"/>
    </row>
    <row r="237" spans="1:14" x14ac:dyDescent="0.2">
      <c r="A237" s="547"/>
      <c r="B237" s="547"/>
      <c r="C237" s="547"/>
      <c r="D237" s="547"/>
      <c r="E237" s="547"/>
      <c r="F237" s="547"/>
      <c r="G237" s="547"/>
      <c r="H237" s="547"/>
      <c r="I237" s="547"/>
      <c r="J237" s="547"/>
      <c r="K237" s="547"/>
      <c r="L237" s="547"/>
      <c r="M237" s="547"/>
      <c r="N237" s="547"/>
    </row>
    <row r="238" spans="1:14" x14ac:dyDescent="0.2">
      <c r="A238" s="547"/>
      <c r="B238" s="547"/>
      <c r="C238" s="547"/>
      <c r="D238" s="547"/>
      <c r="E238" s="547"/>
      <c r="F238" s="547"/>
      <c r="G238" s="547"/>
      <c r="H238" s="547"/>
      <c r="I238" s="547"/>
      <c r="J238" s="547"/>
      <c r="K238" s="547"/>
      <c r="L238" s="547"/>
      <c r="M238" s="547"/>
      <c r="N238" s="547"/>
    </row>
    <row r="239" spans="1:14" x14ac:dyDescent="0.2">
      <c r="A239" s="547"/>
      <c r="B239" s="547"/>
      <c r="C239" s="547"/>
      <c r="D239" s="547"/>
      <c r="E239" s="547"/>
      <c r="F239" s="547"/>
      <c r="G239" s="547"/>
      <c r="H239" s="547"/>
      <c r="I239" s="547"/>
      <c r="J239" s="547"/>
      <c r="K239" s="547"/>
      <c r="L239" s="547"/>
      <c r="M239" s="547"/>
      <c r="N239" s="547"/>
    </row>
    <row r="240" spans="1:14" x14ac:dyDescent="0.2">
      <c r="A240" s="547"/>
      <c r="B240" s="547"/>
      <c r="C240" s="547"/>
      <c r="D240" s="547"/>
      <c r="E240" s="547"/>
      <c r="F240" s="547"/>
      <c r="G240" s="547"/>
      <c r="H240" s="547"/>
      <c r="I240" s="547"/>
      <c r="J240" s="547"/>
      <c r="K240" s="547"/>
      <c r="L240" s="547"/>
      <c r="M240" s="547"/>
      <c r="N240" s="547"/>
    </row>
    <row r="241" spans="1:14" x14ac:dyDescent="0.2">
      <c r="A241" s="547"/>
      <c r="B241" s="547"/>
      <c r="C241" s="547"/>
      <c r="D241" s="547"/>
      <c r="E241" s="547"/>
      <c r="F241" s="547"/>
      <c r="G241" s="547"/>
      <c r="H241" s="547"/>
      <c r="I241" s="547"/>
      <c r="J241" s="547"/>
      <c r="K241" s="547"/>
      <c r="L241" s="547"/>
      <c r="M241" s="547"/>
      <c r="N241" s="547"/>
    </row>
    <row r="242" spans="1:14" x14ac:dyDescent="0.2">
      <c r="A242" s="547"/>
      <c r="B242" s="547"/>
      <c r="C242" s="547"/>
      <c r="D242" s="547"/>
      <c r="E242" s="547"/>
      <c r="F242" s="547"/>
      <c r="G242" s="547"/>
      <c r="H242" s="547"/>
      <c r="I242" s="547"/>
      <c r="J242" s="547"/>
      <c r="K242" s="547"/>
      <c r="L242" s="547"/>
      <c r="M242" s="547"/>
      <c r="N242" s="547"/>
    </row>
    <row r="243" spans="1:14" x14ac:dyDescent="0.2">
      <c r="A243" s="547"/>
      <c r="B243" s="547"/>
      <c r="C243" s="547"/>
      <c r="D243" s="547"/>
      <c r="E243" s="547"/>
      <c r="F243" s="547"/>
      <c r="G243" s="547"/>
      <c r="H243" s="547"/>
      <c r="I243" s="547"/>
      <c r="J243" s="547"/>
      <c r="K243" s="547"/>
      <c r="L243" s="547"/>
      <c r="M243" s="547"/>
      <c r="N243" s="547"/>
    </row>
    <row r="244" spans="1:14" x14ac:dyDescent="0.2">
      <c r="A244" s="547"/>
      <c r="B244" s="547"/>
      <c r="C244" s="547"/>
      <c r="D244" s="547"/>
      <c r="E244" s="547"/>
      <c r="F244" s="547"/>
      <c r="G244" s="547"/>
      <c r="H244" s="547"/>
      <c r="I244" s="547"/>
      <c r="J244" s="547"/>
      <c r="K244" s="547"/>
      <c r="L244" s="547"/>
      <c r="M244" s="547"/>
      <c r="N244" s="547"/>
    </row>
    <row r="245" spans="1:14" x14ac:dyDescent="0.2">
      <c r="A245" s="547"/>
      <c r="B245" s="547"/>
      <c r="C245" s="547"/>
      <c r="D245" s="547"/>
      <c r="E245" s="547"/>
      <c r="F245" s="547"/>
      <c r="G245" s="547"/>
      <c r="H245" s="547"/>
      <c r="I245" s="547"/>
      <c r="J245" s="547"/>
      <c r="K245" s="547"/>
      <c r="L245" s="547"/>
      <c r="M245" s="547"/>
      <c r="N245" s="547"/>
    </row>
    <row r="246" spans="1:14" x14ac:dyDescent="0.2">
      <c r="A246" s="547"/>
      <c r="B246" s="547"/>
      <c r="C246" s="547"/>
      <c r="D246" s="547"/>
      <c r="E246" s="547"/>
      <c r="F246" s="547"/>
      <c r="G246" s="547"/>
      <c r="H246" s="547"/>
      <c r="I246" s="547"/>
      <c r="J246" s="547"/>
      <c r="K246" s="547"/>
      <c r="L246" s="547"/>
      <c r="M246" s="547"/>
      <c r="N246" s="547"/>
    </row>
    <row r="247" spans="1:14" x14ac:dyDescent="0.2">
      <c r="A247" s="547"/>
      <c r="B247" s="547"/>
      <c r="C247" s="547"/>
      <c r="D247" s="547"/>
      <c r="E247" s="547"/>
      <c r="F247" s="547"/>
      <c r="G247" s="547"/>
      <c r="H247" s="547"/>
      <c r="I247" s="547"/>
      <c r="J247" s="547"/>
      <c r="K247" s="547"/>
      <c r="L247" s="547"/>
      <c r="M247" s="547"/>
      <c r="N247" s="547"/>
    </row>
    <row r="248" spans="1:14" x14ac:dyDescent="0.2">
      <c r="A248" s="547"/>
      <c r="B248" s="547"/>
      <c r="C248" s="547"/>
      <c r="D248" s="547"/>
      <c r="E248" s="547"/>
      <c r="F248" s="547"/>
      <c r="G248" s="547"/>
      <c r="H248" s="547"/>
      <c r="I248" s="547"/>
      <c r="J248" s="547"/>
      <c r="K248" s="547"/>
      <c r="L248" s="547"/>
      <c r="M248" s="547"/>
      <c r="N248" s="547"/>
    </row>
    <row r="249" spans="1:14" x14ac:dyDescent="0.2">
      <c r="A249" s="547"/>
      <c r="B249" s="547"/>
      <c r="C249" s="547"/>
      <c r="D249" s="547"/>
      <c r="E249" s="547"/>
      <c r="F249" s="547"/>
      <c r="G249" s="547"/>
      <c r="H249" s="547"/>
      <c r="I249" s="547"/>
      <c r="J249" s="547"/>
      <c r="K249" s="547"/>
      <c r="L249" s="547"/>
      <c r="M249" s="547"/>
      <c r="N249" s="547"/>
    </row>
    <row r="250" spans="1:14" x14ac:dyDescent="0.2">
      <c r="A250" s="547"/>
      <c r="B250" s="547"/>
      <c r="C250" s="547"/>
      <c r="D250" s="547"/>
      <c r="E250" s="547"/>
      <c r="F250" s="547"/>
      <c r="G250" s="547"/>
      <c r="H250" s="547"/>
      <c r="I250" s="547"/>
      <c r="J250" s="547"/>
      <c r="K250" s="547"/>
      <c r="L250" s="547"/>
      <c r="M250" s="547"/>
      <c r="N250" s="547"/>
    </row>
    <row r="251" spans="1:14" x14ac:dyDescent="0.2">
      <c r="A251" s="547"/>
      <c r="B251" s="547"/>
      <c r="C251" s="547"/>
      <c r="D251" s="547"/>
      <c r="E251" s="547"/>
      <c r="F251" s="547"/>
      <c r="G251" s="547"/>
      <c r="H251" s="547"/>
      <c r="I251" s="547"/>
      <c r="J251" s="547"/>
      <c r="K251" s="547"/>
      <c r="L251" s="547"/>
      <c r="M251" s="547"/>
      <c r="N251" s="547"/>
    </row>
    <row r="252" spans="1:14" x14ac:dyDescent="0.2">
      <c r="A252" s="547"/>
      <c r="B252" s="547"/>
      <c r="C252" s="547"/>
      <c r="D252" s="547"/>
      <c r="E252" s="547"/>
      <c r="F252" s="547"/>
      <c r="G252" s="547"/>
      <c r="H252" s="547"/>
      <c r="I252" s="547"/>
      <c r="J252" s="547"/>
      <c r="K252" s="547"/>
      <c r="L252" s="547"/>
      <c r="M252" s="547"/>
      <c r="N252" s="547"/>
    </row>
    <row r="253" spans="1:14" x14ac:dyDescent="0.2">
      <c r="A253" s="547"/>
      <c r="B253" s="547"/>
      <c r="C253" s="547"/>
      <c r="D253" s="547"/>
      <c r="E253" s="547"/>
      <c r="F253" s="547"/>
      <c r="G253" s="547"/>
      <c r="H253" s="547"/>
      <c r="I253" s="547"/>
      <c r="J253" s="547"/>
      <c r="K253" s="547"/>
      <c r="L253" s="547"/>
      <c r="M253" s="547"/>
      <c r="N253" s="547"/>
    </row>
    <row r="254" spans="1:14" x14ac:dyDescent="0.2">
      <c r="A254" s="547"/>
      <c r="B254" s="547"/>
      <c r="C254" s="547"/>
      <c r="D254" s="547"/>
      <c r="E254" s="547"/>
      <c r="F254" s="547"/>
      <c r="G254" s="547"/>
      <c r="H254" s="547"/>
      <c r="I254" s="547"/>
      <c r="J254" s="547"/>
      <c r="K254" s="547"/>
      <c r="L254" s="547"/>
      <c r="M254" s="547"/>
      <c r="N254" s="547"/>
    </row>
    <row r="255" spans="1:14" x14ac:dyDescent="0.2">
      <c r="A255" s="547"/>
      <c r="B255" s="547"/>
      <c r="C255" s="547"/>
      <c r="D255" s="547"/>
      <c r="E255" s="547"/>
      <c r="F255" s="547"/>
      <c r="G255" s="547"/>
      <c r="H255" s="547"/>
      <c r="I255" s="547"/>
      <c r="J255" s="547"/>
      <c r="K255" s="547"/>
      <c r="L255" s="547"/>
      <c r="M255" s="547"/>
      <c r="N255" s="547"/>
    </row>
    <row r="256" spans="1:14" x14ac:dyDescent="0.2">
      <c r="A256" s="547"/>
      <c r="B256" s="547"/>
      <c r="C256" s="547"/>
      <c r="D256" s="547"/>
      <c r="E256" s="547"/>
      <c r="F256" s="547"/>
      <c r="G256" s="547"/>
      <c r="H256" s="547"/>
      <c r="I256" s="547"/>
      <c r="J256" s="547"/>
      <c r="K256" s="547"/>
      <c r="L256" s="547"/>
      <c r="M256" s="547"/>
      <c r="N256" s="547"/>
    </row>
    <row r="257" spans="1:14" x14ac:dyDescent="0.2">
      <c r="A257" s="547"/>
      <c r="B257" s="547"/>
      <c r="C257" s="547"/>
      <c r="D257" s="547"/>
      <c r="E257" s="547"/>
      <c r="F257" s="547"/>
      <c r="G257" s="547"/>
      <c r="H257" s="547"/>
      <c r="I257" s="547"/>
      <c r="J257" s="547"/>
      <c r="K257" s="547"/>
      <c r="L257" s="547"/>
      <c r="M257" s="547"/>
      <c r="N257" s="547"/>
    </row>
    <row r="258" spans="1:14" x14ac:dyDescent="0.2">
      <c r="A258" s="547"/>
      <c r="B258" s="547"/>
      <c r="C258" s="547"/>
      <c r="D258" s="547"/>
      <c r="E258" s="547"/>
      <c r="F258" s="547"/>
      <c r="G258" s="547"/>
      <c r="H258" s="547"/>
      <c r="I258" s="547"/>
      <c r="J258" s="547"/>
      <c r="K258" s="547"/>
      <c r="L258" s="547"/>
      <c r="M258" s="547"/>
      <c r="N258" s="547"/>
    </row>
    <row r="259" spans="1:14" x14ac:dyDescent="0.2">
      <c r="A259" s="547"/>
      <c r="B259" s="547"/>
      <c r="C259" s="547"/>
      <c r="D259" s="547"/>
      <c r="E259" s="547"/>
      <c r="F259" s="547"/>
      <c r="G259" s="547"/>
      <c r="H259" s="547"/>
      <c r="I259" s="547"/>
      <c r="J259" s="547"/>
      <c r="K259" s="547"/>
      <c r="L259" s="547"/>
      <c r="M259" s="547"/>
      <c r="N259" s="547"/>
    </row>
    <row r="260" spans="1:14" x14ac:dyDescent="0.2">
      <c r="A260" s="547"/>
      <c r="B260" s="547"/>
      <c r="C260" s="547"/>
      <c r="D260" s="547"/>
      <c r="E260" s="547"/>
      <c r="F260" s="547"/>
      <c r="G260" s="547"/>
      <c r="H260" s="547"/>
      <c r="I260" s="547"/>
      <c r="J260" s="547"/>
      <c r="K260" s="547"/>
      <c r="L260" s="547"/>
      <c r="M260" s="547"/>
      <c r="N260" s="547"/>
    </row>
    <row r="261" spans="1:14" x14ac:dyDescent="0.2">
      <c r="A261" s="547"/>
      <c r="B261" s="547"/>
      <c r="C261" s="547"/>
      <c r="D261" s="547"/>
      <c r="E261" s="547"/>
      <c r="F261" s="547"/>
      <c r="G261" s="547"/>
      <c r="H261" s="547"/>
      <c r="I261" s="547"/>
      <c r="J261" s="547"/>
      <c r="K261" s="547"/>
      <c r="L261" s="547"/>
      <c r="M261" s="547"/>
      <c r="N261" s="547"/>
    </row>
    <row r="262" spans="1:14" x14ac:dyDescent="0.2">
      <c r="A262" s="547"/>
      <c r="B262" s="547"/>
      <c r="C262" s="547"/>
      <c r="D262" s="547"/>
      <c r="E262" s="547"/>
      <c r="F262" s="547"/>
      <c r="G262" s="547"/>
      <c r="H262" s="547"/>
      <c r="I262" s="547"/>
      <c r="J262" s="547"/>
      <c r="K262" s="547"/>
      <c r="L262" s="547"/>
      <c r="M262" s="547"/>
      <c r="N262" s="54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Income - Historical</vt:lpstr>
      <vt:lpstr>Income - Continuing Ops</vt:lpstr>
      <vt:lpstr>Cash Flow</vt:lpstr>
      <vt:lpstr>Balance Sheet</vt:lpstr>
      <vt:lpstr>Growth Rates</vt:lpstr>
      <vt:lpstr>Ratios</vt:lpstr>
      <vt:lpstr>Foreign</vt:lpstr>
      <vt:lpstr>Appendix - Non-GAAP Adj</vt:lpstr>
      <vt:lpstr>'Balance Sheet'!Print_Area</vt:lpstr>
      <vt:lpstr>'Cash Flow'!Print_Area</vt:lpstr>
      <vt:lpstr>Foreign!Print_Area</vt:lpstr>
      <vt:lpstr>'Growth Rates'!Print_Area</vt:lpstr>
      <vt:lpstr>'Income - Continuing Ops'!Print_Area</vt:lpstr>
      <vt:lpstr>Ratios!Print_Area</vt:lpstr>
    </vt:vector>
  </TitlesOfParts>
  <Company>Leggett &amp; Platt,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Troy Gariss</dc:creator>
  <cp:lastModifiedBy>Cassie Branscum</cp:lastModifiedBy>
  <cp:lastPrinted>2018-02-27T21:59:41Z</cp:lastPrinted>
  <dcterms:created xsi:type="dcterms:W3CDTF">2001-08-06T19:18:42Z</dcterms:created>
  <dcterms:modified xsi:type="dcterms:W3CDTF">2018-02-28T20:38:42Z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