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ggettplatt-my.sharepoint.com/personal/katelyn_pierce_leggett_com/Documents/Documents/IR/Q4 2025/"/>
    </mc:Choice>
  </mc:AlternateContent>
  <xr:revisionPtr revIDLastSave="4" documentId="8_{1B8B8D6C-6F0E-4993-A96D-A62F9959F943}" xr6:coauthVersionLast="47" xr6:coauthVersionMax="47" xr10:uidLastSave="{444BB74C-79EA-4896-8FC6-D643190192B6}"/>
  <bookViews>
    <workbookView xWindow="-120" yWindow="-120" windowWidth="29040" windowHeight="15720" xr2:uid="{00000000-000D-0000-FFFF-FFFF00000000}"/>
  </bookViews>
  <sheets>
    <sheet name="Quarterly Data" sheetId="1" r:id="rId1"/>
    <sheet name="Adjusted Continuing Ops" sheetId="4" r:id="rId2"/>
  </sheets>
  <definedNames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39587.5493865741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1">'Adjusted Continuing Ops'!$A$1:$CR$65</definedName>
    <definedName name="_xlnm.Print_Area" localSheetId="0">'Quarterly Data'!$A$1:$CW$67</definedName>
    <definedName name="_xlnm.Print_Titles" localSheetId="1">'Adjusted Continuing Ops'!$A:$A,'Adjusted Continuing Ops'!$2:$3</definedName>
    <definedName name="_xlnm.Print_Titles" localSheetId="0">'Quarterly Data'!$A:$A,'Quarterly Data'!$1:$2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19" i="4" l="1"/>
  <c r="CQ13" i="4"/>
  <c r="CQ9" i="4"/>
  <c r="CQ6" i="4"/>
  <c r="CW63" i="1" l="1"/>
  <c r="CV63" i="1"/>
  <c r="CW58" i="1"/>
  <c r="CW64" i="1" s="1"/>
  <c r="CV58" i="1"/>
  <c r="CV64" i="1" s="1"/>
  <c r="CW49" i="1"/>
  <c r="CW52" i="1" s="1"/>
  <c r="CV49" i="1"/>
  <c r="CV52" i="1" s="1"/>
  <c r="CP27" i="4"/>
  <c r="CP22" i="4"/>
  <c r="CP18" i="4" l="1"/>
  <c r="CP30" i="4"/>
  <c r="CS31" i="1" l="1"/>
  <c r="CS33" i="1"/>
  <c r="CT31" i="1"/>
  <c r="CT33" i="1" s="1"/>
  <c r="CU31" i="1"/>
  <c r="CU33" i="1" s="1"/>
  <c r="CP19" i="4" l="1"/>
  <c r="CP13" i="4"/>
  <c r="CP6" i="4"/>
  <c r="G19" i="1" l="1"/>
  <c r="CT63" i="1"/>
  <c r="CT58" i="1"/>
  <c r="CT64" i="1" s="1"/>
  <c r="CT49" i="1"/>
  <c r="CT52" i="1" s="1"/>
  <c r="CT32" i="1"/>
  <c r="CT6" i="1"/>
  <c r="CT7" i="1" s="1"/>
  <c r="CO60" i="4"/>
  <c r="CO55" i="4"/>
  <c r="CO61" i="4" s="1"/>
  <c r="CO46" i="4"/>
  <c r="CO49" i="4" s="1"/>
  <c r="CO19" i="4"/>
  <c r="CO13" i="4"/>
  <c r="CO14" i="4" s="1"/>
  <c r="CT9" i="1" l="1"/>
  <c r="CT13" i="1" s="1"/>
  <c r="CO15" i="4"/>
  <c r="CO18" i="4"/>
  <c r="CO20" i="4" s="1"/>
  <c r="CO22" i="4" s="1"/>
  <c r="CO27" i="4"/>
  <c r="CT17" i="1" l="1"/>
  <c r="CT19" i="1" s="1"/>
  <c r="CT14" i="1"/>
  <c r="CT28" i="1"/>
  <c r="CO30" i="4"/>
  <c r="CO23" i="4"/>
  <c r="CT21" i="1" l="1"/>
  <c r="CT23" i="1" s="1"/>
  <c r="CT24" i="1" s="1"/>
  <c r="CN19" i="4" l="1"/>
  <c r="CR13" i="4"/>
  <c r="CN13" i="4"/>
  <c r="CN9" i="4"/>
  <c r="CN6" i="4"/>
  <c r="CS6" i="1" l="1"/>
  <c r="CS7" i="1" s="1"/>
  <c r="CU63" i="1"/>
  <c r="CS63" i="1"/>
  <c r="CU58" i="1"/>
  <c r="CS58" i="1"/>
  <c r="CU49" i="1"/>
  <c r="CU52" i="1" s="1"/>
  <c r="CS49" i="1"/>
  <c r="CS52" i="1" s="1"/>
  <c r="CW42" i="1"/>
  <c r="CW41" i="1"/>
  <c r="CW40" i="1"/>
  <c r="CW39" i="1"/>
  <c r="CW36" i="1"/>
  <c r="CV32" i="1"/>
  <c r="CU32" i="1"/>
  <c r="CS32" i="1"/>
  <c r="CW27" i="1"/>
  <c r="CW26" i="1"/>
  <c r="CW22" i="1"/>
  <c r="CW20" i="1"/>
  <c r="CW32" i="1" s="1"/>
  <c r="CW18" i="1"/>
  <c r="CW16" i="1"/>
  <c r="CW15" i="1"/>
  <c r="CW12" i="1"/>
  <c r="CW11" i="1"/>
  <c r="CW8" i="1"/>
  <c r="CV6" i="1"/>
  <c r="CV7" i="1" s="1"/>
  <c r="CU6" i="1"/>
  <c r="CU9" i="1" s="1"/>
  <c r="CU13" i="1" s="1"/>
  <c r="CW5" i="1"/>
  <c r="CW4" i="1"/>
  <c r="CQ46" i="4"/>
  <c r="CQ49" i="4" s="1"/>
  <c r="CR60" i="4"/>
  <c r="CQ60" i="4"/>
  <c r="CP60" i="4"/>
  <c r="CN60" i="4"/>
  <c r="CR55" i="4"/>
  <c r="CQ55" i="4"/>
  <c r="CP55" i="4"/>
  <c r="CN55" i="4"/>
  <c r="CR46" i="4"/>
  <c r="CR49" i="4" s="1"/>
  <c r="CP46" i="4"/>
  <c r="CP49" i="4" s="1"/>
  <c r="CN46" i="4"/>
  <c r="CN49" i="4" s="1"/>
  <c r="CR39" i="4"/>
  <c r="CR38" i="4"/>
  <c r="CR37" i="4"/>
  <c r="CR36" i="4"/>
  <c r="CR33" i="4"/>
  <c r="CR26" i="4"/>
  <c r="CR25" i="4"/>
  <c r="CR21" i="4"/>
  <c r="CR19" i="4"/>
  <c r="CR17" i="4"/>
  <c r="CR16" i="4"/>
  <c r="CR12" i="4"/>
  <c r="CR9" i="4"/>
  <c r="CP7" i="4"/>
  <c r="CP8" i="4" s="1"/>
  <c r="CO7" i="4"/>
  <c r="CO10" i="4" s="1"/>
  <c r="CN7" i="4"/>
  <c r="CN8" i="4" s="1"/>
  <c r="CQ7" i="4"/>
  <c r="CR5" i="4"/>
  <c r="CR61" i="4" l="1"/>
  <c r="CU64" i="1"/>
  <c r="CS64" i="1"/>
  <c r="CW6" i="1"/>
  <c r="CW7" i="1" s="1"/>
  <c r="CV9" i="1"/>
  <c r="CV13" i="1" s="1"/>
  <c r="CV14" i="1" s="1"/>
  <c r="CS9" i="1"/>
  <c r="CS13" i="1" s="1"/>
  <c r="CS14" i="1" s="1"/>
  <c r="CU14" i="1"/>
  <c r="CU17" i="1"/>
  <c r="CU19" i="1" s="1"/>
  <c r="CU28" i="1"/>
  <c r="CU7" i="1"/>
  <c r="CN61" i="4"/>
  <c r="CP61" i="4"/>
  <c r="CQ61" i="4"/>
  <c r="CQ8" i="4"/>
  <c r="CQ10" i="4"/>
  <c r="CQ14" i="4" s="1"/>
  <c r="CR6" i="4"/>
  <c r="CR7" i="4" s="1"/>
  <c r="CP10" i="4"/>
  <c r="CP14" i="4" s="1"/>
  <c r="CO8" i="4"/>
  <c r="CN10" i="4"/>
  <c r="CN14" i="4" s="1"/>
  <c r="CL19" i="4"/>
  <c r="CL13" i="4"/>
  <c r="CL9" i="4"/>
  <c r="CL6" i="4"/>
  <c r="CW9" i="1" l="1"/>
  <c r="CW13" i="1" s="1"/>
  <c r="CW17" i="1" s="1"/>
  <c r="CW19" i="1" s="1"/>
  <c r="CV17" i="1"/>
  <c r="CV19" i="1" s="1"/>
  <c r="CV31" i="1" s="1"/>
  <c r="CV33" i="1" s="1"/>
  <c r="CV28" i="1"/>
  <c r="CS17" i="1"/>
  <c r="CS19" i="1" s="1"/>
  <c r="CS28" i="1"/>
  <c r="CU21" i="1"/>
  <c r="CU23" i="1" s="1"/>
  <c r="CU24" i="1" s="1"/>
  <c r="CR8" i="4"/>
  <c r="CR10" i="4"/>
  <c r="CR14" i="4" s="1"/>
  <c r="CN27" i="4"/>
  <c r="CN18" i="4"/>
  <c r="CN20" i="4" s="1"/>
  <c r="CN22" i="4" s="1"/>
  <c r="CN15" i="4"/>
  <c r="CQ27" i="4"/>
  <c r="CQ15" i="4"/>
  <c r="CQ18" i="4"/>
  <c r="CQ20" i="4" s="1"/>
  <c r="CQ22" i="4" s="1"/>
  <c r="CP15" i="4"/>
  <c r="CP20" i="4"/>
  <c r="CJ9" i="4"/>
  <c r="CW28" i="1" l="1"/>
  <c r="CW14" i="1"/>
  <c r="CV21" i="1"/>
  <c r="CV23" i="1" s="1"/>
  <c r="CV24" i="1" s="1"/>
  <c r="CS21" i="1"/>
  <c r="CS23" i="1" s="1"/>
  <c r="CS24" i="1" s="1"/>
  <c r="CW21" i="1"/>
  <c r="CW23" i="1" s="1"/>
  <c r="CR18" i="4"/>
  <c r="CR20" i="4" s="1"/>
  <c r="CR22" i="4" s="1"/>
  <c r="CR15" i="4"/>
  <c r="CR27" i="4"/>
  <c r="CQ23" i="4"/>
  <c r="CQ30" i="4"/>
  <c r="CN30" i="4"/>
  <c r="CN23" i="4"/>
  <c r="CP23" i="4"/>
  <c r="CJ19" i="4"/>
  <c r="CJ13" i="4"/>
  <c r="CI13" i="4"/>
  <c r="CI6" i="4"/>
  <c r="CJ6" i="4"/>
  <c r="CK6" i="4"/>
  <c r="CK13" i="4"/>
  <c r="CW24" i="1" l="1"/>
  <c r="CR23" i="4"/>
  <c r="CK19" i="4"/>
  <c r="CK9" i="4"/>
  <c r="CM60" i="4" l="1"/>
  <c r="CM55" i="4"/>
  <c r="CM46" i="4"/>
  <c r="CM49" i="4" s="1"/>
  <c r="CK60" i="4"/>
  <c r="CK55" i="4"/>
  <c r="CK61" i="4" s="1"/>
  <c r="CK46" i="4"/>
  <c r="CK49" i="4" s="1"/>
  <c r="CK7" i="4"/>
  <c r="CK10" i="4" s="1"/>
  <c r="CK14" i="4" s="1"/>
  <c r="CM61" i="4" l="1"/>
  <c r="CK8" i="4"/>
  <c r="CK18" i="4"/>
  <c r="CK20" i="4" s="1"/>
  <c r="CK15" i="4"/>
  <c r="CM19" i="4" l="1"/>
  <c r="CJ7" i="4"/>
  <c r="CN63" i="1"/>
  <c r="CN58" i="1"/>
  <c r="CN64" i="1" s="1"/>
  <c r="CN49" i="1"/>
  <c r="CN52" i="1" s="1"/>
  <c r="CI19" i="4"/>
  <c r="CI9" i="4"/>
  <c r="CM9" i="4" s="1"/>
  <c r="CI7" i="4"/>
  <c r="CM13" i="4"/>
  <c r="CM39" i="4"/>
  <c r="CM38" i="4"/>
  <c r="CM37" i="4"/>
  <c r="CM36" i="4"/>
  <c r="CM33" i="4"/>
  <c r="CM26" i="4"/>
  <c r="CM25" i="4"/>
  <c r="CM21" i="4"/>
  <c r="CM17" i="4"/>
  <c r="CM16" i="4"/>
  <c r="CM12" i="4"/>
  <c r="CM5" i="4"/>
  <c r="CR63" i="1"/>
  <c r="CR58" i="1"/>
  <c r="CR49" i="1"/>
  <c r="CR52" i="1" s="1"/>
  <c r="CR42" i="1"/>
  <c r="CR41" i="1"/>
  <c r="CR40" i="1"/>
  <c r="CR39" i="1"/>
  <c r="CR36" i="1"/>
  <c r="CR27" i="1"/>
  <c r="CR26" i="1"/>
  <c r="CR22" i="1"/>
  <c r="CR20" i="1"/>
  <c r="CR32" i="1" s="1"/>
  <c r="CR18" i="1"/>
  <c r="CR16" i="1"/>
  <c r="CR15" i="1"/>
  <c r="CR12" i="1"/>
  <c r="CR11" i="1"/>
  <c r="CR8" i="1"/>
  <c r="CR5" i="1"/>
  <c r="CR4" i="1"/>
  <c r="CQ63" i="1"/>
  <c r="CP63" i="1"/>
  <c r="CO63" i="1"/>
  <c r="CQ58" i="1"/>
  <c r="CP58" i="1"/>
  <c r="CO58" i="1"/>
  <c r="CQ49" i="1"/>
  <c r="CQ52" i="1" s="1"/>
  <c r="CP49" i="1"/>
  <c r="CP52" i="1" s="1"/>
  <c r="CO49" i="1"/>
  <c r="CO52" i="1" s="1"/>
  <c r="CQ32" i="1"/>
  <c r="CP32" i="1"/>
  <c r="CO32" i="1"/>
  <c r="CN32" i="1"/>
  <c r="CQ6" i="1"/>
  <c r="CQ9" i="1" s="1"/>
  <c r="CQ13" i="1" s="1"/>
  <c r="CP6" i="1"/>
  <c r="CP7" i="1" s="1"/>
  <c r="CO6" i="1"/>
  <c r="CO9" i="1" s="1"/>
  <c r="CO13" i="1" s="1"/>
  <c r="CN6" i="1"/>
  <c r="CN7" i="1" s="1"/>
  <c r="CL60" i="4"/>
  <c r="CJ60" i="4"/>
  <c r="CI60" i="4"/>
  <c r="CL55" i="4"/>
  <c r="CJ55" i="4"/>
  <c r="CI55" i="4"/>
  <c r="CL46" i="4"/>
  <c r="CL49" i="4" s="1"/>
  <c r="CJ46" i="4"/>
  <c r="CJ49" i="4" s="1"/>
  <c r="CI46" i="4"/>
  <c r="CI49" i="4" s="1"/>
  <c r="CK27" i="4"/>
  <c r="CK22" i="4"/>
  <c r="CK30" i="4" s="1"/>
  <c r="CL7" i="4"/>
  <c r="CL10" i="4" s="1"/>
  <c r="CL14" i="4" s="1"/>
  <c r="CP9" i="1" l="1"/>
  <c r="CP13" i="1" s="1"/>
  <c r="CL61" i="4"/>
  <c r="CL15" i="4"/>
  <c r="CL27" i="4"/>
  <c r="CL18" i="4"/>
  <c r="CL20" i="4" s="1"/>
  <c r="CL22" i="4" s="1"/>
  <c r="CL8" i="4"/>
  <c r="CQ64" i="1"/>
  <c r="CQ17" i="1"/>
  <c r="CQ19" i="1" s="1"/>
  <c r="CQ28" i="1"/>
  <c r="CQ14" i="1"/>
  <c r="CQ7" i="1"/>
  <c r="CK23" i="4"/>
  <c r="CP64" i="1"/>
  <c r="CP14" i="1"/>
  <c r="CP28" i="1"/>
  <c r="CP17" i="1"/>
  <c r="CP19" i="1" s="1"/>
  <c r="CJ10" i="4"/>
  <c r="CJ14" i="4" s="1"/>
  <c r="CJ15" i="4" s="1"/>
  <c r="CM6" i="4"/>
  <c r="CM7" i="4" s="1"/>
  <c r="CM10" i="4" s="1"/>
  <c r="CM14" i="4" s="1"/>
  <c r="CJ61" i="4"/>
  <c r="CJ8" i="4"/>
  <c r="CO64" i="1"/>
  <c r="CR6" i="1"/>
  <c r="CR9" i="1" s="1"/>
  <c r="CR13" i="1" s="1"/>
  <c r="CR28" i="1" s="1"/>
  <c r="CO7" i="1"/>
  <c r="CO14" i="1"/>
  <c r="CO28" i="1"/>
  <c r="CO17" i="1"/>
  <c r="CO19" i="1" s="1"/>
  <c r="CN9" i="1"/>
  <c r="CN13" i="1" s="1"/>
  <c r="CI61" i="4"/>
  <c r="CI10" i="4"/>
  <c r="CI14" i="4" s="1"/>
  <c r="CI18" i="4" s="1"/>
  <c r="CI20" i="4" s="1"/>
  <c r="CI22" i="4" s="1"/>
  <c r="CI8" i="4"/>
  <c r="CR64" i="1"/>
  <c r="CL30" i="4" l="1"/>
  <c r="CL23" i="4"/>
  <c r="CQ31" i="1"/>
  <c r="CQ33" i="1" s="1"/>
  <c r="CQ21" i="1"/>
  <c r="CQ23" i="1" s="1"/>
  <c r="CQ24" i="1" s="1"/>
  <c r="CR7" i="1"/>
  <c r="CP21" i="1"/>
  <c r="CP23" i="1" s="1"/>
  <c r="CP24" i="1" s="1"/>
  <c r="CP31" i="1"/>
  <c r="CP33" i="1" s="1"/>
  <c r="CJ27" i="4"/>
  <c r="CJ18" i="4"/>
  <c r="CJ20" i="4" s="1"/>
  <c r="CJ22" i="4" s="1"/>
  <c r="CJ23" i="4" s="1"/>
  <c r="CO21" i="1"/>
  <c r="CO23" i="1" s="1"/>
  <c r="CO24" i="1" s="1"/>
  <c r="CO31" i="1"/>
  <c r="CO33" i="1" s="1"/>
  <c r="CN14" i="1"/>
  <c r="CN28" i="1"/>
  <c r="CN17" i="1"/>
  <c r="CN19" i="1" s="1"/>
  <c r="CM8" i="4"/>
  <c r="CI15" i="4"/>
  <c r="CI27" i="4"/>
  <c r="CI30" i="4"/>
  <c r="CI23" i="4"/>
  <c r="CM15" i="4"/>
  <c r="CM27" i="4"/>
  <c r="CM18" i="4"/>
  <c r="CM20" i="4" s="1"/>
  <c r="CM22" i="4" s="1"/>
  <c r="CR14" i="1"/>
  <c r="CR17" i="1"/>
  <c r="CR19" i="1" s="1"/>
  <c r="CJ30" i="4" l="1"/>
  <c r="CN21" i="1"/>
  <c r="CN23" i="1" s="1"/>
  <c r="CN24" i="1" s="1"/>
  <c r="CN31" i="1"/>
  <c r="CN33" i="1" s="1"/>
  <c r="CM30" i="4"/>
  <c r="CM23" i="4"/>
  <c r="CR21" i="1"/>
  <c r="CR23" i="1" s="1"/>
  <c r="CR31" i="1"/>
  <c r="CR24" i="1" l="1"/>
  <c r="CR33" i="1"/>
  <c r="CG19" i="4" l="1"/>
  <c r="CG13" i="4"/>
  <c r="CH60" i="4" l="1"/>
  <c r="CG60" i="4"/>
  <c r="CH55" i="4"/>
  <c r="CH61" i="4" s="1"/>
  <c r="CG55" i="4"/>
  <c r="CG61" i="4" s="1"/>
  <c r="CG49" i="4"/>
  <c r="CH46" i="4"/>
  <c r="CH49" i="4" s="1"/>
  <c r="CG46" i="4"/>
  <c r="CH39" i="4"/>
  <c r="CH38" i="4"/>
  <c r="CH37" i="4"/>
  <c r="CH36" i="4"/>
  <c r="CM39" i="1"/>
  <c r="CG7" i="4"/>
  <c r="CG8" i="4" s="1"/>
  <c r="CL63" i="1"/>
  <c r="CL58" i="1"/>
  <c r="CL49" i="1"/>
  <c r="CL52" i="1" s="1"/>
  <c r="CL32" i="1"/>
  <c r="CL6" i="1"/>
  <c r="CL7" i="1" s="1"/>
  <c r="CF19" i="4"/>
  <c r="CF13" i="4"/>
  <c r="CG10" i="4" l="1"/>
  <c r="CG14" i="4" s="1"/>
  <c r="CL64" i="1"/>
  <c r="CL9" i="1"/>
  <c r="CL13" i="1" s="1"/>
  <c r="CF60" i="4"/>
  <c r="CF55" i="4"/>
  <c r="CF61" i="4" s="1"/>
  <c r="CF46" i="4"/>
  <c r="CF49" i="4" s="1"/>
  <c r="CF7" i="4"/>
  <c r="CF8" i="4" s="1"/>
  <c r="CK63" i="1"/>
  <c r="CK58" i="1"/>
  <c r="CK49" i="1"/>
  <c r="CK52" i="1" s="1"/>
  <c r="CK32" i="1"/>
  <c r="CK6" i="1"/>
  <c r="CK9" i="1" s="1"/>
  <c r="CK13" i="1" s="1"/>
  <c r="CK28" i="1" l="1"/>
  <c r="CK17" i="1"/>
  <c r="CK19" i="1" s="1"/>
  <c r="CK14" i="1"/>
  <c r="CK7" i="1"/>
  <c r="CK64" i="1"/>
  <c r="CF10" i="4"/>
  <c r="CF14" i="4" s="1"/>
  <c r="CF15" i="4" s="1"/>
  <c r="CG27" i="4"/>
  <c r="CG18" i="4"/>
  <c r="CG20" i="4" s="1"/>
  <c r="CG22" i="4" s="1"/>
  <c r="CG15" i="4"/>
  <c r="CL28" i="1"/>
  <c r="CL17" i="1"/>
  <c r="CL19" i="1" s="1"/>
  <c r="CL14" i="1"/>
  <c r="CF18" i="4"/>
  <c r="CF20" i="4" s="1"/>
  <c r="CF22" i="4" s="1"/>
  <c r="CF30" i="4" s="1"/>
  <c r="CF27" i="4"/>
  <c r="CE13" i="4"/>
  <c r="CH13" i="4" s="1"/>
  <c r="CE19" i="4"/>
  <c r="CH19" i="4" s="1"/>
  <c r="CE7" i="4"/>
  <c r="CE10" i="4" s="1"/>
  <c r="CE14" i="4" s="1"/>
  <c r="CE60" i="4"/>
  <c r="CE55" i="4"/>
  <c r="CE46" i="4"/>
  <c r="CE49" i="4" s="1"/>
  <c r="CH33" i="4"/>
  <c r="CJ63" i="1"/>
  <c r="CJ58" i="1"/>
  <c r="CJ49" i="1"/>
  <c r="CJ52" i="1" s="1"/>
  <c r="CJ32" i="1"/>
  <c r="CJ6" i="1"/>
  <c r="CJ9" i="1" s="1"/>
  <c r="CJ13" i="1" s="1"/>
  <c r="CD60" i="4"/>
  <c r="CD55" i="4"/>
  <c r="CD46" i="4"/>
  <c r="CD49" i="4" s="1"/>
  <c r="CH26" i="4"/>
  <c r="CH21" i="4"/>
  <c r="CH17" i="4"/>
  <c r="CH16" i="4"/>
  <c r="CH12" i="4"/>
  <c r="CH9" i="4"/>
  <c r="CD7" i="4"/>
  <c r="CD8" i="4" s="1"/>
  <c r="CH6" i="4"/>
  <c r="CH5" i="4"/>
  <c r="CM63" i="1"/>
  <c r="CM58" i="1"/>
  <c r="CM49" i="1"/>
  <c r="CM52" i="1" s="1"/>
  <c r="CK31" i="1" l="1"/>
  <c r="CK33" i="1" s="1"/>
  <c r="CK21" i="1"/>
  <c r="CK23" i="1" s="1"/>
  <c r="CK24" i="1" s="1"/>
  <c r="CG30" i="4"/>
  <c r="CG23" i="4"/>
  <c r="CL21" i="1"/>
  <c r="CL23" i="1" s="1"/>
  <c r="CL24" i="1" s="1"/>
  <c r="CL31" i="1"/>
  <c r="CL33" i="1" s="1"/>
  <c r="CF23" i="4"/>
  <c r="CH25" i="4"/>
  <c r="CJ14" i="1"/>
  <c r="CJ28" i="1"/>
  <c r="CJ17" i="1"/>
  <c r="CJ19" i="1" s="1"/>
  <c r="CJ31" i="1" s="1"/>
  <c r="CJ33" i="1" s="1"/>
  <c r="CE15" i="4"/>
  <c r="CE27" i="4"/>
  <c r="CD61" i="4"/>
  <c r="CE61" i="4"/>
  <c r="CJ7" i="1"/>
  <c r="CE18" i="4"/>
  <c r="CE20" i="4" s="1"/>
  <c r="CE22" i="4" s="1"/>
  <c r="CE8" i="4"/>
  <c r="CM64" i="1"/>
  <c r="CJ64" i="1"/>
  <c r="CH7" i="4"/>
  <c r="CH8" i="4" s="1"/>
  <c r="CD10" i="4"/>
  <c r="CD14" i="4" s="1"/>
  <c r="CJ21" i="1" l="1"/>
  <c r="CJ23" i="1" s="1"/>
  <c r="CJ24" i="1" s="1"/>
  <c r="CE30" i="4"/>
  <c r="CE23" i="4"/>
  <c r="CH10" i="4"/>
  <c r="CH14" i="4" s="1"/>
  <c r="CH27" i="4" s="1"/>
  <c r="CD27" i="4"/>
  <c r="CD18" i="4"/>
  <c r="CD20" i="4" s="1"/>
  <c r="CD22" i="4" s="1"/>
  <c r="CD15" i="4"/>
  <c r="CH18" i="4" l="1"/>
  <c r="CH20" i="4" s="1"/>
  <c r="CH22" i="4" s="1"/>
  <c r="CH30" i="4" s="1"/>
  <c r="CH15" i="4"/>
  <c r="CD23" i="4"/>
  <c r="CD30" i="4"/>
  <c r="CH23" i="4" l="1"/>
  <c r="CI63" i="1" l="1"/>
  <c r="CI58" i="1"/>
  <c r="CI49" i="1"/>
  <c r="CI52" i="1" s="1"/>
  <c r="CM42" i="1"/>
  <c r="CM41" i="1"/>
  <c r="CM40" i="1"/>
  <c r="CM36" i="1"/>
  <c r="CI32" i="1"/>
  <c r="CM27" i="1"/>
  <c r="CM26" i="1"/>
  <c r="CM22" i="1"/>
  <c r="CM20" i="1"/>
  <c r="CM32" i="1" s="1"/>
  <c r="CM18" i="1"/>
  <c r="CM16" i="1"/>
  <c r="CM15" i="1"/>
  <c r="CM12" i="1"/>
  <c r="CM11" i="1"/>
  <c r="CM8" i="1"/>
  <c r="CI6" i="1"/>
  <c r="CI9" i="1" s="1"/>
  <c r="CI13" i="1" s="1"/>
  <c r="CM5" i="1"/>
  <c r="CM4" i="1"/>
  <c r="CI64" i="1" l="1"/>
  <c r="CI7" i="1"/>
  <c r="CM6" i="1"/>
  <c r="CM7" i="1" s="1"/>
  <c r="CI17" i="1"/>
  <c r="CI19" i="1" s="1"/>
  <c r="CI28" i="1"/>
  <c r="CI14" i="1"/>
  <c r="CH27" i="1"/>
  <c r="CC60" i="4"/>
  <c r="CC55" i="4"/>
  <c r="CC61" i="4" s="1"/>
  <c r="CC46" i="4"/>
  <c r="CC49" i="4" s="1"/>
  <c r="CB60" i="4"/>
  <c r="CB55" i="4"/>
  <c r="CB61" i="4" s="1"/>
  <c r="CB46" i="4"/>
  <c r="CB49" i="4" s="1"/>
  <c r="CH63" i="1"/>
  <c r="CH58" i="1"/>
  <c r="CH49" i="1"/>
  <c r="CH52" i="1" s="1"/>
  <c r="CG63" i="1"/>
  <c r="CG58" i="1"/>
  <c r="CG49" i="1"/>
  <c r="CG52" i="1" s="1"/>
  <c r="CB7" i="4"/>
  <c r="CB8" i="4" s="1"/>
  <c r="CG32" i="1"/>
  <c r="CG6" i="1"/>
  <c r="CG9" i="1" s="1"/>
  <c r="CG13" i="1" s="1"/>
  <c r="CF63" i="1"/>
  <c r="CF58" i="1"/>
  <c r="CF64" i="1" s="1"/>
  <c r="CF57" i="1"/>
  <c r="CF49" i="1"/>
  <c r="CF52" i="1" s="1"/>
  <c r="CA60" i="4"/>
  <c r="BZ55" i="4"/>
  <c r="CA54" i="4"/>
  <c r="CA55" i="4"/>
  <c r="CA46" i="4"/>
  <c r="CA49" i="4" s="1"/>
  <c r="CA13" i="4"/>
  <c r="CA7" i="4"/>
  <c r="CA8" i="4" s="1"/>
  <c r="CF32" i="1"/>
  <c r="CF12" i="1"/>
  <c r="CF7" i="1"/>
  <c r="CF6" i="1"/>
  <c r="CF9" i="1" s="1"/>
  <c r="BZ60" i="4"/>
  <c r="BZ46" i="4"/>
  <c r="BZ49" i="4" s="1"/>
  <c r="CE12" i="1"/>
  <c r="BZ13" i="4"/>
  <c r="BY13" i="4"/>
  <c r="CD12" i="1"/>
  <c r="CG64" i="1" l="1"/>
  <c r="CF13" i="1"/>
  <c r="CG28" i="1"/>
  <c r="CG14" i="1"/>
  <c r="CG17" i="1"/>
  <c r="CG19" i="1" s="1"/>
  <c r="CF14" i="1"/>
  <c r="CF28" i="1"/>
  <c r="CF17" i="1"/>
  <c r="CF19" i="1" s="1"/>
  <c r="CA10" i="4"/>
  <c r="CA14" i="4" s="1"/>
  <c r="BZ61" i="4"/>
  <c r="CG7" i="1"/>
  <c r="CH64" i="1"/>
  <c r="CM9" i="1"/>
  <c r="CM13" i="1" s="1"/>
  <c r="CM14" i="1" s="1"/>
  <c r="CI21" i="1"/>
  <c r="CI23" i="1" s="1"/>
  <c r="CI24" i="1" s="1"/>
  <c r="CI31" i="1"/>
  <c r="CI33" i="1" s="1"/>
  <c r="CB10" i="4"/>
  <c r="CB14" i="4" s="1"/>
  <c r="CA61" i="4"/>
  <c r="BY60" i="4"/>
  <c r="BY55" i="4"/>
  <c r="BY46" i="4"/>
  <c r="BY49" i="4" s="1"/>
  <c r="CC39" i="4"/>
  <c r="CC38" i="4"/>
  <c r="CC37" i="4"/>
  <c r="CC36" i="4"/>
  <c r="CC33" i="4"/>
  <c r="CC26" i="4"/>
  <c r="CC25" i="4"/>
  <c r="CC21" i="4"/>
  <c r="CC19" i="4"/>
  <c r="CC17" i="4"/>
  <c r="CC16" i="4"/>
  <c r="CC13" i="4"/>
  <c r="CC12" i="4"/>
  <c r="CC9" i="4"/>
  <c r="BZ7" i="4"/>
  <c r="BZ8" i="4" s="1"/>
  <c r="BY7" i="4"/>
  <c r="BY8" i="4" s="1"/>
  <c r="CC6" i="4"/>
  <c r="CC5" i="4"/>
  <c r="CE63" i="1"/>
  <c r="CD63" i="1"/>
  <c r="CE58" i="1"/>
  <c r="CD58" i="1"/>
  <c r="CE49" i="1"/>
  <c r="CE52" i="1" s="1"/>
  <c r="CD49" i="1"/>
  <c r="CD52" i="1" s="1"/>
  <c r="CH42" i="1"/>
  <c r="CH41" i="1"/>
  <c r="CH40" i="1"/>
  <c r="CH39" i="1"/>
  <c r="CH36" i="1"/>
  <c r="CE32" i="1"/>
  <c r="CD32" i="1"/>
  <c r="CH26" i="1"/>
  <c r="CH22" i="1"/>
  <c r="CH20" i="1"/>
  <c r="CH32" i="1" s="1"/>
  <c r="CH18" i="1"/>
  <c r="CH16" i="1"/>
  <c r="CH15" i="1"/>
  <c r="CH12" i="1"/>
  <c r="CH11" i="1"/>
  <c r="CH8" i="1"/>
  <c r="CE6" i="1"/>
  <c r="CE7" i="1" s="1"/>
  <c r="CD6" i="1"/>
  <c r="CD7" i="1" s="1"/>
  <c r="CH5" i="1"/>
  <c r="CH4" i="1"/>
  <c r="CA15" i="4" l="1"/>
  <c r="CA18" i="4"/>
  <c r="CA20" i="4" s="1"/>
  <c r="CA22" i="4" s="1"/>
  <c r="CA27" i="4"/>
  <c r="CF31" i="1"/>
  <c r="CF33" i="1" s="1"/>
  <c r="CF21" i="1"/>
  <c r="CF23" i="1" s="1"/>
  <c r="CF24" i="1" s="1"/>
  <c r="CB15" i="4"/>
  <c r="CB27" i="4"/>
  <c r="CB18" i="4"/>
  <c r="CB20" i="4" s="1"/>
  <c r="CB22" i="4" s="1"/>
  <c r="CG31" i="1"/>
  <c r="CG33" i="1" s="1"/>
  <c r="CG21" i="1"/>
  <c r="CG23" i="1" s="1"/>
  <c r="CG24" i="1" s="1"/>
  <c r="CM28" i="1"/>
  <c r="CM17" i="1"/>
  <c r="CM19" i="1" s="1"/>
  <c r="CM21" i="1" s="1"/>
  <c r="CM23" i="1" s="1"/>
  <c r="CD64" i="1"/>
  <c r="CH6" i="1"/>
  <c r="CH7" i="1" s="1"/>
  <c r="CC7" i="4"/>
  <c r="CC8" i="4" s="1"/>
  <c r="BY61" i="4"/>
  <c r="BY10" i="4"/>
  <c r="BY14" i="4" s="1"/>
  <c r="BZ10" i="4"/>
  <c r="BZ14" i="4" s="1"/>
  <c r="CE64" i="1"/>
  <c r="CE9" i="1"/>
  <c r="CE13" i="1" s="1"/>
  <c r="CE14" i="1" s="1"/>
  <c r="CD9" i="1"/>
  <c r="CD13" i="1" s="1"/>
  <c r="CC63" i="1"/>
  <c r="CC58" i="1"/>
  <c r="CC49" i="1"/>
  <c r="CC52" i="1" s="1"/>
  <c r="CB63" i="1"/>
  <c r="CB58" i="1"/>
  <c r="CB64" i="1" s="1"/>
  <c r="CB49" i="1"/>
  <c r="CB52" i="1" s="1"/>
  <c r="BW60" i="4"/>
  <c r="BW55" i="4"/>
  <c r="BW61" i="4" s="1"/>
  <c r="BX46" i="4"/>
  <c r="BX49" i="4" s="1"/>
  <c r="BW46" i="4"/>
  <c r="BW49" i="4" s="1"/>
  <c r="CC64" i="1" l="1"/>
  <c r="CA30" i="4"/>
  <c r="CA23" i="4"/>
  <c r="CB30" i="4"/>
  <c r="CB23" i="4"/>
  <c r="CM31" i="1"/>
  <c r="CM24" i="1"/>
  <c r="CM33" i="1"/>
  <c r="CH9" i="1"/>
  <c r="CH13" i="1" s="1"/>
  <c r="CH14" i="1" s="1"/>
  <c r="CC10" i="4"/>
  <c r="CC14" i="4" s="1"/>
  <c r="BY27" i="4"/>
  <c r="BY15" i="4"/>
  <c r="BY18" i="4"/>
  <c r="BY20" i="4" s="1"/>
  <c r="BY22" i="4" s="1"/>
  <c r="BZ15" i="4"/>
  <c r="BZ18" i="4"/>
  <c r="BZ20" i="4" s="1"/>
  <c r="BZ22" i="4" s="1"/>
  <c r="BZ30" i="4" s="1"/>
  <c r="BZ27" i="4"/>
  <c r="CE17" i="1"/>
  <c r="CE19" i="1" s="1"/>
  <c r="CE31" i="1" s="1"/>
  <c r="CE33" i="1" s="1"/>
  <c r="CE28" i="1"/>
  <c r="CD14" i="1"/>
  <c r="CD28" i="1"/>
  <c r="CD17" i="1"/>
  <c r="CD19" i="1" s="1"/>
  <c r="BW7" i="4"/>
  <c r="BW8" i="4" s="1"/>
  <c r="BV7" i="4"/>
  <c r="BV10" i="4" s="1"/>
  <c r="BV14" i="4" s="1"/>
  <c r="BV8" i="4" l="1"/>
  <c r="BV15" i="4"/>
  <c r="BV18" i="4"/>
  <c r="BV20" i="4" s="1"/>
  <c r="BV22" i="4" s="1"/>
  <c r="BW10" i="4"/>
  <c r="BW14" i="4" s="1"/>
  <c r="BW27" i="4" s="1"/>
  <c r="CC15" i="4"/>
  <c r="CC27" i="4"/>
  <c r="CH28" i="1"/>
  <c r="CH17" i="1"/>
  <c r="CH19" i="1" s="1"/>
  <c r="CH31" i="1" s="1"/>
  <c r="CC18" i="4"/>
  <c r="CC20" i="4" s="1"/>
  <c r="CC22" i="4" s="1"/>
  <c r="CC30" i="4" s="1"/>
  <c r="BZ23" i="4"/>
  <c r="BY30" i="4"/>
  <c r="BY23" i="4"/>
  <c r="CE21" i="1"/>
  <c r="CE23" i="1" s="1"/>
  <c r="CE24" i="1" s="1"/>
  <c r="CD31" i="1"/>
  <c r="CD33" i="1" s="1"/>
  <c r="CD21" i="1"/>
  <c r="CD23" i="1" s="1"/>
  <c r="CD24" i="1" s="1"/>
  <c r="BW15" i="4"/>
  <c r="BW18" i="4"/>
  <c r="BW20" i="4" s="1"/>
  <c r="BW22" i="4" s="1"/>
  <c r="BW23" i="4" l="1"/>
  <c r="BW30" i="4"/>
  <c r="CH21" i="1"/>
  <c r="CH23" i="1" s="1"/>
  <c r="CH24" i="1" s="1"/>
  <c r="CC23" i="4"/>
  <c r="CB32" i="1"/>
  <c r="CB6" i="1"/>
  <c r="CB9" i="1" s="1"/>
  <c r="CB13" i="1" s="1"/>
  <c r="BX60" i="4"/>
  <c r="BX55" i="4"/>
  <c r="BV60" i="4"/>
  <c r="BV55" i="4"/>
  <c r="BV61" i="4" s="1"/>
  <c r="BV46" i="4"/>
  <c r="BV49" i="4" s="1"/>
  <c r="BV27" i="4"/>
  <c r="BV23" i="4"/>
  <c r="CA63" i="1"/>
  <c r="CA58" i="1"/>
  <c r="CA49" i="1"/>
  <c r="CA52" i="1" s="1"/>
  <c r="CA32" i="1"/>
  <c r="CA6" i="1"/>
  <c r="CA9" i="1" s="1"/>
  <c r="CA13" i="1" s="1"/>
  <c r="BU19" i="4"/>
  <c r="BU13" i="4"/>
  <c r="BU60" i="4"/>
  <c r="BU55" i="4"/>
  <c r="BU46" i="4"/>
  <c r="BU49" i="4" s="1"/>
  <c r="BU26" i="4"/>
  <c r="BX26" i="4" s="1"/>
  <c r="BU7" i="4"/>
  <c r="BU8" i="4" s="1"/>
  <c r="BZ63" i="1"/>
  <c r="BZ58" i="1"/>
  <c r="BZ49" i="1"/>
  <c r="BZ52" i="1" s="1"/>
  <c r="BZ27" i="1"/>
  <c r="BZ32" i="1"/>
  <c r="BZ8" i="1"/>
  <c r="BZ6" i="1"/>
  <c r="BZ7" i="1" s="1"/>
  <c r="CB28" i="1" l="1"/>
  <c r="CB17" i="1"/>
  <c r="CB19" i="1" s="1"/>
  <c r="CB14" i="1"/>
  <c r="CB7" i="1"/>
  <c r="BZ64" i="1"/>
  <c r="BU61" i="4"/>
  <c r="CH33" i="1"/>
  <c r="BX61" i="4"/>
  <c r="BV30" i="4"/>
  <c r="CA64" i="1"/>
  <c r="CA28" i="1"/>
  <c r="CA14" i="1"/>
  <c r="CA17" i="1"/>
  <c r="CA19" i="1" s="1"/>
  <c r="CA7" i="1"/>
  <c r="BU10" i="4"/>
  <c r="BU14" i="4" s="1"/>
  <c r="BU27" i="4" s="1"/>
  <c r="BZ9" i="1"/>
  <c r="BZ13" i="1" s="1"/>
  <c r="BZ28" i="1" s="1"/>
  <c r="BN60" i="4"/>
  <c r="CB21" i="1" l="1"/>
  <c r="CB23" i="1" s="1"/>
  <c r="CB24" i="1" s="1"/>
  <c r="CB31" i="1"/>
  <c r="CB33" i="1" s="1"/>
  <c r="CA31" i="1"/>
  <c r="CA33" i="1" s="1"/>
  <c r="CA21" i="1"/>
  <c r="CA23" i="1" s="1"/>
  <c r="CA24" i="1" s="1"/>
  <c r="BU15" i="4"/>
  <c r="BU18" i="4"/>
  <c r="BU20" i="4" s="1"/>
  <c r="BU22" i="4" s="1"/>
  <c r="BZ17" i="1"/>
  <c r="BZ19" i="1" s="1"/>
  <c r="BZ14" i="1"/>
  <c r="BL13" i="4"/>
  <c r="BL6" i="4"/>
  <c r="BH13" i="4"/>
  <c r="BH9" i="4"/>
  <c r="AS9" i="4"/>
  <c r="BU30" i="4" l="1"/>
  <c r="BU23" i="4"/>
  <c r="BZ31" i="1"/>
  <c r="BZ33" i="1" s="1"/>
  <c r="BZ21" i="1"/>
  <c r="BZ23" i="1" s="1"/>
  <c r="BZ24" i="1" s="1"/>
  <c r="BS30" i="4" l="1"/>
  <c r="BT60" i="4"/>
  <c r="BT58" i="4"/>
  <c r="BT55" i="4"/>
  <c r="BT46" i="4"/>
  <c r="BT49" i="4" s="1"/>
  <c r="BX39" i="4"/>
  <c r="BX38" i="4"/>
  <c r="BX37" i="4"/>
  <c r="BX36" i="4"/>
  <c r="BX33" i="4"/>
  <c r="BX25" i="4"/>
  <c r="BX21" i="4"/>
  <c r="BX19" i="4"/>
  <c r="BX17" i="4"/>
  <c r="BX16" i="4"/>
  <c r="BT13" i="4"/>
  <c r="BX13" i="4" s="1"/>
  <c r="BX12" i="4"/>
  <c r="BX9" i="4"/>
  <c r="BT7" i="4"/>
  <c r="BT8" i="4" s="1"/>
  <c r="BX6" i="4"/>
  <c r="BX5" i="4"/>
  <c r="BY61" i="1"/>
  <c r="BY63" i="1" s="1"/>
  <c r="BY12" i="1"/>
  <c r="CC12" i="1" s="1"/>
  <c r="CC42" i="1"/>
  <c r="CC41" i="1"/>
  <c r="CC40" i="1"/>
  <c r="CC39" i="1"/>
  <c r="CC36" i="1"/>
  <c r="CC27" i="1"/>
  <c r="CC26" i="1"/>
  <c r="CC22" i="1"/>
  <c r="CC20" i="1"/>
  <c r="CC32" i="1" s="1"/>
  <c r="CC18" i="1"/>
  <c r="CC16" i="1"/>
  <c r="CC15" i="1"/>
  <c r="CC11" i="1"/>
  <c r="CC8" i="1"/>
  <c r="CC5" i="1"/>
  <c r="CC4" i="1"/>
  <c r="BY58" i="1"/>
  <c r="BY49" i="1"/>
  <c r="BY52" i="1" s="1"/>
  <c r="BY32" i="1"/>
  <c r="BY6" i="1"/>
  <c r="BY7" i="1" s="1"/>
  <c r="BT61" i="4" l="1"/>
  <c r="BX7" i="4"/>
  <c r="BX8" i="4" s="1"/>
  <c r="BT10" i="4"/>
  <c r="BT14" i="4" s="1"/>
  <c r="BY64" i="1"/>
  <c r="CC6" i="1"/>
  <c r="CC7" i="1" s="1"/>
  <c r="BY9" i="1"/>
  <c r="BY13" i="1" s="1"/>
  <c r="BX10" i="4" l="1"/>
  <c r="BT15" i="4"/>
  <c r="BT27" i="4"/>
  <c r="CC9" i="1"/>
  <c r="CC13" i="1" s="1"/>
  <c r="CC14" i="1" s="1"/>
  <c r="BT18" i="4"/>
  <c r="BY14" i="1"/>
  <c r="BY17" i="1"/>
  <c r="BY19" i="1" s="1"/>
  <c r="BY31" i="1" s="1"/>
  <c r="BY28" i="1"/>
  <c r="BX14" i="4" l="1"/>
  <c r="BX15" i="4" s="1"/>
  <c r="CC17" i="1"/>
  <c r="CC19" i="1" s="1"/>
  <c r="CC31" i="1" s="1"/>
  <c r="CC28" i="1"/>
  <c r="BT20" i="4"/>
  <c r="BT22" i="4" s="1"/>
  <c r="BY33" i="1"/>
  <c r="BY21" i="1"/>
  <c r="BY23" i="1" s="1"/>
  <c r="BY24" i="1" s="1"/>
  <c r="BX18" i="4" l="1"/>
  <c r="BX20" i="4" s="1"/>
  <c r="BX22" i="4" s="1"/>
  <c r="BX30" i="4" s="1"/>
  <c r="BX27" i="4"/>
  <c r="CC21" i="1"/>
  <c r="CC23" i="1" s="1"/>
  <c r="CC24" i="1" s="1"/>
  <c r="BT23" i="4"/>
  <c r="BT30" i="4"/>
  <c r="BX23" i="4" l="1"/>
  <c r="CC33" i="1"/>
  <c r="BO13" i="4"/>
  <c r="BD21" i="4" l="1"/>
  <c r="BI5" i="4"/>
  <c r="BN4" i="1"/>
  <c r="AY51" i="1" l="1"/>
  <c r="AX19" i="4" l="1"/>
  <c r="BE7" i="4" l="1"/>
  <c r="BQ13" i="4" l="1"/>
  <c r="BM13" i="4"/>
  <c r="BH16" i="4"/>
  <c r="BN5" i="4" l="1"/>
  <c r="BS4" i="1"/>
  <c r="BI21" i="4" l="1"/>
  <c r="BN22" i="1"/>
  <c r="BS5" i="4"/>
  <c r="BS60" i="4"/>
  <c r="BR60" i="4"/>
  <c r="BQ60" i="4"/>
  <c r="BP60" i="4"/>
  <c r="BO60" i="4"/>
  <c r="BM60" i="4"/>
  <c r="BL60" i="4"/>
  <c r="BK60" i="4"/>
  <c r="BJ60" i="4"/>
  <c r="BI58" i="4"/>
  <c r="BI60" i="4" s="1"/>
  <c r="BD58" i="4"/>
  <c r="BD60" i="4" s="1"/>
  <c r="AY58" i="4"/>
  <c r="AY60" i="4" s="1"/>
  <c r="AT58" i="4"/>
  <c r="AT60" i="4" s="1"/>
  <c r="BS55" i="4"/>
  <c r="BR55" i="4"/>
  <c r="BR61" i="4" s="1"/>
  <c r="BQ55" i="4"/>
  <c r="BP55" i="4"/>
  <c r="BO55" i="4"/>
  <c r="BN55" i="4"/>
  <c r="BM55" i="4"/>
  <c r="BL55" i="4"/>
  <c r="BK55" i="4"/>
  <c r="BJ55" i="4"/>
  <c r="BI55" i="4"/>
  <c r="BD55" i="4"/>
  <c r="AY55" i="4"/>
  <c r="AT55" i="4"/>
  <c r="AY48" i="4"/>
  <c r="BS46" i="4"/>
  <c r="BS49" i="4" s="1"/>
  <c r="BR46" i="4"/>
  <c r="BR49" i="4" s="1"/>
  <c r="BQ46" i="4"/>
  <c r="BQ49" i="4" s="1"/>
  <c r="BP46" i="4"/>
  <c r="BP49" i="4" s="1"/>
  <c r="BO46" i="4"/>
  <c r="BO49" i="4" s="1"/>
  <c r="BN46" i="4"/>
  <c r="BN49" i="4" s="1"/>
  <c r="BM46" i="4"/>
  <c r="BM49" i="4" s="1"/>
  <c r="BL46" i="4"/>
  <c r="BL49" i="4" s="1"/>
  <c r="BK46" i="4"/>
  <c r="BK49" i="4" s="1"/>
  <c r="BJ46" i="4"/>
  <c r="BJ49" i="4" s="1"/>
  <c r="BI46" i="4"/>
  <c r="BI49" i="4" s="1"/>
  <c r="BD46" i="4"/>
  <c r="BD49" i="4" s="1"/>
  <c r="AY46" i="4"/>
  <c r="AT46" i="4"/>
  <c r="AT49" i="4" s="1"/>
  <c r="AY61" i="1"/>
  <c r="BD61" i="1"/>
  <c r="BI61" i="1"/>
  <c r="BN61" i="1"/>
  <c r="BN49" i="1"/>
  <c r="BS49" i="1"/>
  <c r="BS52" i="1" s="1"/>
  <c r="BS58" i="1"/>
  <c r="BS63" i="1"/>
  <c r="BX49" i="1"/>
  <c r="BX52" i="1"/>
  <c r="BX58" i="1"/>
  <c r="BX63" i="1"/>
  <c r="BX22" i="1"/>
  <c r="BM61" i="4" l="1"/>
  <c r="AY49" i="4"/>
  <c r="BX64" i="1"/>
  <c r="BS64" i="1"/>
  <c r="BO61" i="4"/>
  <c r="BS61" i="4"/>
  <c r="BD61" i="4"/>
  <c r="BP61" i="4"/>
  <c r="BQ61" i="4"/>
  <c r="BN61" i="4"/>
  <c r="BL61" i="4"/>
  <c r="BK61" i="4"/>
  <c r="BJ61" i="4"/>
  <c r="AY61" i="4"/>
  <c r="AT61" i="4"/>
  <c r="BI61" i="4"/>
  <c r="AS19" i="4" l="1"/>
  <c r="AS6" i="4"/>
  <c r="AQ19" i="4"/>
  <c r="AQ9" i="4"/>
  <c r="AP19" i="4"/>
  <c r="AP13" i="4"/>
  <c r="AX13" i="4"/>
  <c r="AV19" i="4"/>
  <c r="AV13" i="4"/>
  <c r="AV9" i="4"/>
  <c r="BC19" i="4"/>
  <c r="BC13" i="4"/>
  <c r="BC9" i="4"/>
  <c r="BC6" i="4"/>
  <c r="BB19" i="4"/>
  <c r="BB13" i="4"/>
  <c r="BH19" i="4"/>
  <c r="BH6" i="4"/>
  <c r="BG19" i="4"/>
  <c r="BM19" i="4"/>
  <c r="BM6" i="4"/>
  <c r="BK19" i="4"/>
  <c r="BK13" i="4"/>
  <c r="BK6" i="4"/>
  <c r="BJ19" i="4"/>
  <c r="BJ13" i="4"/>
  <c r="BJ9" i="4"/>
  <c r="BJ6" i="4"/>
  <c r="BQ19" i="4"/>
  <c r="BR7" i="4"/>
  <c r="BR8" i="4" s="1"/>
  <c r="BQ6" i="4"/>
  <c r="BQ7" i="4" s="1"/>
  <c r="BQ8" i="4" s="1"/>
  <c r="BP19" i="4"/>
  <c r="BP13" i="4"/>
  <c r="BP6" i="4"/>
  <c r="BP7" i="4" s="1"/>
  <c r="BR10" i="4" l="1"/>
  <c r="BR14" i="4" s="1"/>
  <c r="BR15" i="4" s="1"/>
  <c r="BN13" i="4"/>
  <c r="BP10" i="4"/>
  <c r="BP14" i="4" s="1"/>
  <c r="BP15" i="4" s="1"/>
  <c r="BP8" i="4"/>
  <c r="BQ10" i="4"/>
  <c r="BQ14" i="4" s="1"/>
  <c r="BP18" i="4"/>
  <c r="BP20" i="4" s="1"/>
  <c r="BP22" i="4" s="1"/>
  <c r="BR18" i="4"/>
  <c r="BR20" i="4" s="1"/>
  <c r="BR22" i="4" s="1"/>
  <c r="BQ18" i="4" l="1"/>
  <c r="BQ20" i="4" s="1"/>
  <c r="BQ22" i="4" s="1"/>
  <c r="BQ15" i="4"/>
  <c r="BO19" i="4" l="1"/>
  <c r="BR23" i="4"/>
  <c r="BP23" i="4"/>
  <c r="BP27" i="4"/>
  <c r="BO9" i="4"/>
  <c r="BX4" i="1"/>
  <c r="BQ23" i="4" l="1"/>
  <c r="BQ27" i="4"/>
  <c r="BR27" i="4"/>
  <c r="BW63" i="1"/>
  <c r="BW58" i="1"/>
  <c r="BW49" i="1"/>
  <c r="BW52" i="1" s="1"/>
  <c r="BW64" i="1" l="1"/>
  <c r="BW32" i="1"/>
  <c r="BW6" i="1"/>
  <c r="BW9" i="1" s="1"/>
  <c r="BW13" i="1" s="1"/>
  <c r="BW28" i="1" l="1"/>
  <c r="BW17" i="1"/>
  <c r="BW19" i="1" s="1"/>
  <c r="BW14" i="1"/>
  <c r="BW7" i="1"/>
  <c r="BV63" i="1"/>
  <c r="BV58" i="1"/>
  <c r="BV49" i="1"/>
  <c r="BV52" i="1" s="1"/>
  <c r="BV32" i="1"/>
  <c r="BV64" i="1" l="1"/>
  <c r="BW31" i="1"/>
  <c r="BW33" i="1" s="1"/>
  <c r="BW21" i="1"/>
  <c r="BW23" i="1" s="1"/>
  <c r="BW24" i="1" s="1"/>
  <c r="BV6" i="1" l="1"/>
  <c r="BV7" i="1" s="1"/>
  <c r="BV9" i="1" l="1"/>
  <c r="BV13" i="1" s="1"/>
  <c r="BV28" i="1" s="1"/>
  <c r="BU63" i="1"/>
  <c r="BU58" i="1"/>
  <c r="BU49" i="1"/>
  <c r="BU52" i="1" s="1"/>
  <c r="BU32" i="1"/>
  <c r="BU6" i="1"/>
  <c r="BU9" i="1" s="1"/>
  <c r="BU13" i="1" s="1"/>
  <c r="BV14" i="1" l="1"/>
  <c r="BV17" i="1"/>
  <c r="BV19" i="1" s="1"/>
  <c r="BV31" i="1"/>
  <c r="BV33" i="1" s="1"/>
  <c r="BV21" i="1"/>
  <c r="BV23" i="1" s="1"/>
  <c r="BV24" i="1" s="1"/>
  <c r="BU64" i="1"/>
  <c r="BU28" i="1"/>
  <c r="BU17" i="1"/>
  <c r="BU19" i="1" s="1"/>
  <c r="BU31" i="1" s="1"/>
  <c r="BU14" i="1"/>
  <c r="BU7" i="1"/>
  <c r="BU33" i="1" l="1"/>
  <c r="BU21" i="1"/>
  <c r="BU23" i="1" s="1"/>
  <c r="BU24" i="1" s="1"/>
  <c r="BS39" i="4"/>
  <c r="BS38" i="4"/>
  <c r="BS37" i="4"/>
  <c r="BS36" i="4"/>
  <c r="BS33" i="4"/>
  <c r="BS26" i="4"/>
  <c r="BS25" i="4"/>
  <c r="BS21" i="4"/>
  <c r="BS19" i="4"/>
  <c r="BS17" i="4"/>
  <c r="BS16" i="4"/>
  <c r="BS13" i="4"/>
  <c r="BS12" i="4"/>
  <c r="BS9" i="4"/>
  <c r="BO7" i="4"/>
  <c r="BS7" i="4" s="1"/>
  <c r="BS6" i="4"/>
  <c r="BO8" i="4" l="1"/>
  <c r="BO10" i="4"/>
  <c r="BS8" i="4"/>
  <c r="BS10" i="4"/>
  <c r="BS14" i="4" s="1"/>
  <c r="BS27" i="4" s="1"/>
  <c r="BO14" i="4" l="1"/>
  <c r="BO27" i="4" s="1"/>
  <c r="BS15" i="4"/>
  <c r="BS18" i="4"/>
  <c r="BS20" i="4" s="1"/>
  <c r="BS22" i="4" s="1"/>
  <c r="BS23" i="4" s="1"/>
  <c r="BO18" i="4" l="1"/>
  <c r="BO20" i="4" s="1"/>
  <c r="BO22" i="4" s="1"/>
  <c r="BO23" i="4" s="1"/>
  <c r="BO15" i="4"/>
  <c r="BX42" i="1"/>
  <c r="BX41" i="1"/>
  <c r="BX40" i="1"/>
  <c r="BX39" i="1"/>
  <c r="BX36" i="1"/>
  <c r="BX27" i="1"/>
  <c r="BX26" i="1"/>
  <c r="BX20" i="1"/>
  <c r="BX32" i="1" s="1"/>
  <c r="BX18" i="1"/>
  <c r="BX16" i="1"/>
  <c r="BX15" i="1"/>
  <c r="BX12" i="1"/>
  <c r="BX11" i="1"/>
  <c r="BX8" i="1"/>
  <c r="BX5" i="1"/>
  <c r="BT63" i="1"/>
  <c r="BT58" i="1"/>
  <c r="BT49" i="1"/>
  <c r="BT52" i="1" s="1"/>
  <c r="BT32" i="1"/>
  <c r="BT6" i="1"/>
  <c r="BT9" i="1" s="1"/>
  <c r="BT13" i="1" s="1"/>
  <c r="BT64" i="1" l="1"/>
  <c r="BX6" i="1"/>
  <c r="BX9" i="1" s="1"/>
  <c r="BX13" i="1" s="1"/>
  <c r="BT28" i="1"/>
  <c r="BT17" i="1"/>
  <c r="BT14" i="1"/>
  <c r="BT7" i="1"/>
  <c r="BN21" i="4"/>
  <c r="BT19" i="1" l="1"/>
  <c r="BT31" i="1" s="1"/>
  <c r="BT33" i="1" s="1"/>
  <c r="BX7" i="1"/>
  <c r="BX28" i="1"/>
  <c r="BX14" i="1"/>
  <c r="BX17" i="1"/>
  <c r="BX19" i="1" s="1"/>
  <c r="BX31" i="1" s="1"/>
  <c r="BT21" i="1"/>
  <c r="BT23" i="1" s="1"/>
  <c r="BT24" i="1" s="1"/>
  <c r="BR6" i="1"/>
  <c r="BR9" i="1" s="1"/>
  <c r="BR13" i="1" s="1"/>
  <c r="BR63" i="1"/>
  <c r="BR58" i="1"/>
  <c r="BR49" i="1"/>
  <c r="BR52" i="1" s="1"/>
  <c r="BN25" i="4"/>
  <c r="BM7" i="4"/>
  <c r="BM8" i="4" s="1"/>
  <c r="BR64" i="1" l="1"/>
  <c r="BR7" i="1"/>
  <c r="BX21" i="1"/>
  <c r="BX23" i="1" s="1"/>
  <c r="BX33" i="1" s="1"/>
  <c r="BR28" i="1"/>
  <c r="BR14" i="1"/>
  <c r="BR17" i="1"/>
  <c r="BR19" i="1" s="1"/>
  <c r="BM10" i="4"/>
  <c r="BM14" i="4" s="1"/>
  <c r="BL7" i="4"/>
  <c r="BL10" i="4" s="1"/>
  <c r="F54" i="4"/>
  <c r="AM54" i="4"/>
  <c r="AN54" i="4"/>
  <c r="AO54" i="4"/>
  <c r="BQ63" i="1"/>
  <c r="BO58" i="1"/>
  <c r="BO63" i="1"/>
  <c r="BQ58" i="1"/>
  <c r="BQ49" i="1"/>
  <c r="BQ52" i="1" s="1"/>
  <c r="BQ6" i="1"/>
  <c r="BQ9" i="1" s="1"/>
  <c r="BQ13" i="1" s="1"/>
  <c r="BL14" i="4" l="1"/>
  <c r="BL27" i="4" s="1"/>
  <c r="BR21" i="1"/>
  <c r="BR23" i="1" s="1"/>
  <c r="BR24" i="1" s="1"/>
  <c r="BR31" i="1"/>
  <c r="BR33" i="1" s="1"/>
  <c r="BQ64" i="1"/>
  <c r="BL8" i="4"/>
  <c r="BQ7" i="1"/>
  <c r="BX24" i="1"/>
  <c r="BQ17" i="1"/>
  <c r="BQ19" i="1" s="1"/>
  <c r="BQ14" i="1"/>
  <c r="BQ28" i="1"/>
  <c r="BL15" i="4"/>
  <c r="BL18" i="4"/>
  <c r="BL20" i="4" s="1"/>
  <c r="BL22" i="4" s="1"/>
  <c r="BL23" i="4" s="1"/>
  <c r="BM27" i="4"/>
  <c r="BM18" i="4"/>
  <c r="BM20" i="4" s="1"/>
  <c r="BM22" i="4" s="1"/>
  <c r="BM23" i="4" s="1"/>
  <c r="BM15" i="4"/>
  <c r="BN16" i="4"/>
  <c r="BN6" i="4"/>
  <c r="BN36" i="4"/>
  <c r="BN39" i="4"/>
  <c r="BN38" i="4"/>
  <c r="BN37" i="4"/>
  <c r="BK7" i="4"/>
  <c r="BK10" i="4" s="1"/>
  <c r="BK14" i="4" s="1"/>
  <c r="BK27" i="4" s="1"/>
  <c r="BP63" i="1"/>
  <c r="BP58" i="1"/>
  <c r="BP49" i="1"/>
  <c r="BP52" i="1" s="1"/>
  <c r="BP32" i="1"/>
  <c r="BP6" i="1"/>
  <c r="BP7" i="1" s="1"/>
  <c r="BQ21" i="1" l="1"/>
  <c r="BQ23" i="1" s="1"/>
  <c r="BQ24" i="1" s="1"/>
  <c r="BQ31" i="1"/>
  <c r="BQ33" i="1" s="1"/>
  <c r="BP9" i="1"/>
  <c r="BP13" i="1" s="1"/>
  <c r="BP28" i="1" s="1"/>
  <c r="BK18" i="4"/>
  <c r="BK20" i="4" s="1"/>
  <c r="BK22" i="4" s="1"/>
  <c r="BK15" i="4"/>
  <c r="BK8" i="4"/>
  <c r="BP64" i="1"/>
  <c r="BP14" i="1" l="1"/>
  <c r="BP17" i="1"/>
  <c r="BP19" i="1" s="1"/>
  <c r="BP31" i="1" s="1"/>
  <c r="BP33" i="1" s="1"/>
  <c r="BK23" i="4"/>
  <c r="BO49" i="1"/>
  <c r="BS42" i="1"/>
  <c r="BS41" i="1"/>
  <c r="BS40" i="1"/>
  <c r="BS39" i="1"/>
  <c r="BS36" i="1"/>
  <c r="BO32" i="1"/>
  <c r="BS27" i="1"/>
  <c r="BS26" i="1"/>
  <c r="BS22" i="1"/>
  <c r="BS20" i="1"/>
  <c r="BS32" i="1" s="1"/>
  <c r="BS18" i="1"/>
  <c r="BS16" i="1"/>
  <c r="BS15" i="1"/>
  <c r="BS12" i="1"/>
  <c r="BS11" i="1"/>
  <c r="BS8" i="1"/>
  <c r="BO6" i="1"/>
  <c r="BO7" i="1" s="1"/>
  <c r="BS5" i="1"/>
  <c r="BN33" i="4"/>
  <c r="BN26" i="4"/>
  <c r="BN19" i="4"/>
  <c r="BN17" i="4"/>
  <c r="BN12" i="4"/>
  <c r="BN9" i="4"/>
  <c r="BJ7" i="4"/>
  <c r="BJ10" i="4" s="1"/>
  <c r="BJ14" i="4" s="1"/>
  <c r="BO52" i="1" l="1"/>
  <c r="BP21" i="1"/>
  <c r="BP23" i="1" s="1"/>
  <c r="BP24" i="1" s="1"/>
  <c r="BS6" i="1"/>
  <c r="BO64" i="1"/>
  <c r="BO9" i="1"/>
  <c r="BO13" i="1" s="1"/>
  <c r="BO17" i="1" s="1"/>
  <c r="BO19" i="1" s="1"/>
  <c r="BN7" i="4"/>
  <c r="BN10" i="4" s="1"/>
  <c r="BN14" i="4" s="1"/>
  <c r="BJ27" i="4"/>
  <c r="BJ18" i="4"/>
  <c r="BJ15" i="4"/>
  <c r="BJ8" i="4"/>
  <c r="BI6" i="4"/>
  <c r="BI7" i="4" s="1"/>
  <c r="BJ20" i="4" l="1"/>
  <c r="BJ22" i="4" s="1"/>
  <c r="BJ23" i="4" s="1"/>
  <c r="BS9" i="1"/>
  <c r="BS7" i="1"/>
  <c r="BN18" i="4"/>
  <c r="BN20" i="4" s="1"/>
  <c r="BN22" i="4" s="1"/>
  <c r="BN23" i="4" s="1"/>
  <c r="BN27" i="4"/>
  <c r="BN8" i="4"/>
  <c r="BO14" i="1"/>
  <c r="BO28" i="1"/>
  <c r="BO31" i="1"/>
  <c r="BO33" i="1" s="1"/>
  <c r="BO21" i="1"/>
  <c r="BN15" i="4"/>
  <c r="BM32" i="1"/>
  <c r="BM6" i="1"/>
  <c r="BM9" i="1" s="1"/>
  <c r="BM13" i="1" s="1"/>
  <c r="BN63" i="1"/>
  <c r="BN58" i="1"/>
  <c r="BO23" i="1" l="1"/>
  <c r="BO24" i="1" s="1"/>
  <c r="BN64" i="1"/>
  <c r="BN52" i="1"/>
  <c r="BS13" i="1"/>
  <c r="BN30" i="4"/>
  <c r="BM28" i="1"/>
  <c r="BM17" i="1"/>
  <c r="BM19" i="1" s="1"/>
  <c r="BM14" i="1"/>
  <c r="BM7" i="1"/>
  <c r="BS28" i="1" l="1"/>
  <c r="BS17" i="1"/>
  <c r="BS14" i="1"/>
  <c r="BM31" i="1"/>
  <c r="BM33" i="1" s="1"/>
  <c r="BM21" i="1"/>
  <c r="BM23" i="1" s="1"/>
  <c r="BM24" i="1" s="1"/>
  <c r="BS19" i="1" l="1"/>
  <c r="BH7" i="4"/>
  <c r="BH10" i="4" s="1"/>
  <c r="BH14" i="4" s="1"/>
  <c r="BH15" i="4" s="1"/>
  <c r="BS21" i="1" l="1"/>
  <c r="BS31" i="1"/>
  <c r="BH18" i="4"/>
  <c r="BH20" i="4" s="1"/>
  <c r="BH22" i="4" s="1"/>
  <c r="BH27" i="4"/>
  <c r="BH8" i="4"/>
  <c r="BS23" i="1" l="1"/>
  <c r="BH23" i="4"/>
  <c r="BS33" i="1" l="1"/>
  <c r="BS24" i="1"/>
  <c r="BG7" i="4"/>
  <c r="BG8" i="4" s="1"/>
  <c r="BG10" i="4" l="1"/>
  <c r="BG14" i="4" s="1"/>
  <c r="BG18" i="4" s="1"/>
  <c r="BG20" i="4" s="1"/>
  <c r="BG22" i="4" s="1"/>
  <c r="BL32" i="1"/>
  <c r="BL6" i="1"/>
  <c r="BL7" i="1" s="1"/>
  <c r="BG27" i="4" l="1"/>
  <c r="BG15" i="4"/>
  <c r="BG23" i="4"/>
  <c r="BL9" i="1"/>
  <c r="BL13" i="1" s="1"/>
  <c r="BL17" i="1" s="1"/>
  <c r="BL19" i="1" s="1"/>
  <c r="BK32" i="1"/>
  <c r="BK6" i="1"/>
  <c r="BK9" i="1" s="1"/>
  <c r="BK13" i="1" s="1"/>
  <c r="BF7" i="4"/>
  <c r="BF10" i="4" s="1"/>
  <c r="BF14" i="4" s="1"/>
  <c r="BL14" i="1" l="1"/>
  <c r="BK7" i="1"/>
  <c r="BL28" i="1"/>
  <c r="BL31" i="1"/>
  <c r="BL33" i="1" s="1"/>
  <c r="BL21" i="1"/>
  <c r="BL23" i="1" s="1"/>
  <c r="BL24" i="1" s="1"/>
  <c r="BK14" i="1"/>
  <c r="BK28" i="1"/>
  <c r="BK17" i="1"/>
  <c r="BK19" i="1" s="1"/>
  <c r="BK31" i="1" s="1"/>
  <c r="BF27" i="4"/>
  <c r="BF18" i="4"/>
  <c r="BF20" i="4" s="1"/>
  <c r="BF22" i="4" s="1"/>
  <c r="BF15" i="4"/>
  <c r="BF8" i="4"/>
  <c r="BJ32" i="1"/>
  <c r="BK33" i="1" l="1"/>
  <c r="BK21" i="1"/>
  <c r="BK23" i="1" s="1"/>
  <c r="BK24" i="1" s="1"/>
  <c r="BF23" i="4"/>
  <c r="BI39" i="4" l="1"/>
  <c r="BI38" i="4"/>
  <c r="BI37" i="4"/>
  <c r="BI36" i="4"/>
  <c r="BI33" i="4"/>
  <c r="BI26" i="4"/>
  <c r="BI25" i="4"/>
  <c r="BI19" i="4"/>
  <c r="BI17" i="4"/>
  <c r="BI16" i="4"/>
  <c r="BI13" i="4"/>
  <c r="BI12" i="4"/>
  <c r="BI9" i="4"/>
  <c r="BE8" i="4"/>
  <c r="BN42" i="1"/>
  <c r="BN41" i="1"/>
  <c r="BN40" i="1"/>
  <c r="BN39" i="1"/>
  <c r="BN36" i="1"/>
  <c r="BN27" i="1"/>
  <c r="BN26" i="1"/>
  <c r="BN20" i="1"/>
  <c r="BN32" i="1" s="1"/>
  <c r="BN18" i="1"/>
  <c r="BN16" i="1"/>
  <c r="BN15" i="1"/>
  <c r="BN12" i="1"/>
  <c r="BN11" i="1"/>
  <c r="BN8" i="1"/>
  <c r="BJ6" i="1"/>
  <c r="BJ9" i="1" s="1"/>
  <c r="BJ13" i="1" s="1"/>
  <c r="BJ28" i="1" s="1"/>
  <c r="BN5" i="1"/>
  <c r="BN6" i="1" l="1"/>
  <c r="BE10" i="4"/>
  <c r="BE14" i="4" s="1"/>
  <c r="BJ7" i="1"/>
  <c r="BJ14" i="1"/>
  <c r="BJ17" i="1"/>
  <c r="BJ19" i="1" s="1"/>
  <c r="BJ31" i="1" s="1"/>
  <c r="BJ33" i="1" s="1"/>
  <c r="BC7" i="4"/>
  <c r="BC10" i="4" s="1"/>
  <c r="BC14" i="4" s="1"/>
  <c r="BI63" i="1"/>
  <c r="BI58" i="1"/>
  <c r="BI49" i="1"/>
  <c r="BI52" i="1" s="1"/>
  <c r="BH6" i="1"/>
  <c r="BH9" i="1" s="1"/>
  <c r="BH13" i="1" s="1"/>
  <c r="BN7" i="1" l="1"/>
  <c r="BI64" i="1"/>
  <c r="BC27" i="4"/>
  <c r="BC15" i="4"/>
  <c r="BC18" i="4"/>
  <c r="BC20" i="4" s="1"/>
  <c r="BC22" i="4" s="1"/>
  <c r="BC23" i="4" s="1"/>
  <c r="BH14" i="1"/>
  <c r="BH28" i="1"/>
  <c r="BH17" i="1"/>
  <c r="BH19" i="1" s="1"/>
  <c r="BH31" i="1" s="1"/>
  <c r="BH7" i="1"/>
  <c r="BC8" i="4"/>
  <c r="BN9" i="1"/>
  <c r="BI8" i="4"/>
  <c r="BI10" i="4"/>
  <c r="BE15" i="4"/>
  <c r="BE27" i="4"/>
  <c r="BE18" i="4"/>
  <c r="BE20" i="4" s="1"/>
  <c r="BE22" i="4" s="1"/>
  <c r="BE30" i="4" s="1"/>
  <c r="BJ21" i="1"/>
  <c r="BJ23" i="1" s="1"/>
  <c r="BJ24" i="1" s="1"/>
  <c r="BN13" i="1" l="1"/>
  <c r="BN28" i="1" s="1"/>
  <c r="BI14" i="4"/>
  <c r="BI18" i="4" s="1"/>
  <c r="BI20" i="4" s="1"/>
  <c r="BN14" i="1"/>
  <c r="BH33" i="1"/>
  <c r="BH21" i="1"/>
  <c r="BH23" i="1" s="1"/>
  <c r="BH24" i="1" s="1"/>
  <c r="BI30" i="4"/>
  <c r="BE23" i="4"/>
  <c r="BB7" i="4"/>
  <c r="BB10" i="4" s="1"/>
  <c r="BB14" i="4" s="1"/>
  <c r="BG32" i="1"/>
  <c r="BG6" i="1"/>
  <c r="BG7" i="1" s="1"/>
  <c r="BF6" i="1"/>
  <c r="BE6" i="1"/>
  <c r="BN17" i="1" l="1"/>
  <c r="BN19" i="1"/>
  <c r="BN31" i="1" s="1"/>
  <c r="BI27" i="4"/>
  <c r="BI15" i="4"/>
  <c r="BB18" i="4"/>
  <c r="BB20" i="4" s="1"/>
  <c r="BB22" i="4" s="1"/>
  <c r="BB8" i="4"/>
  <c r="BG9" i="1"/>
  <c r="BG13" i="1" s="1"/>
  <c r="BG28" i="1" s="1"/>
  <c r="BD33" i="4"/>
  <c r="BD26" i="4"/>
  <c r="BD25" i="4"/>
  <c r="BD19" i="4"/>
  <c r="BD17" i="4"/>
  <c r="BD16" i="4"/>
  <c r="BD13" i="4"/>
  <c r="BD9" i="4"/>
  <c r="BD12" i="4"/>
  <c r="BD6" i="4"/>
  <c r="BD5" i="4"/>
  <c r="BN21" i="1" l="1"/>
  <c r="BI22" i="4"/>
  <c r="BB27" i="4"/>
  <c r="BB15" i="4"/>
  <c r="BG17" i="1"/>
  <c r="BG19" i="1" s="1"/>
  <c r="BG31" i="1" s="1"/>
  <c r="BG14" i="1"/>
  <c r="BB23" i="4"/>
  <c r="BD37" i="4"/>
  <c r="BD38" i="4"/>
  <c r="BD39" i="4"/>
  <c r="BD36" i="4"/>
  <c r="BA7" i="4"/>
  <c r="BA8" i="4" s="1"/>
  <c r="BF32" i="1"/>
  <c r="BF9" i="1"/>
  <c r="BF13" i="1" s="1"/>
  <c r="BF7" i="1"/>
  <c r="BN23" i="1" l="1"/>
  <c r="BI23" i="4"/>
  <c r="BG21" i="1"/>
  <c r="BG23" i="1" s="1"/>
  <c r="BG24" i="1" s="1"/>
  <c r="BG33" i="1"/>
  <c r="BF17" i="1"/>
  <c r="BF19" i="1" s="1"/>
  <c r="BF31" i="1" s="1"/>
  <c r="BF14" i="1"/>
  <c r="BF28" i="1"/>
  <c r="BA10" i="4"/>
  <c r="BA14" i="4" s="1"/>
  <c r="BN24" i="1" l="1"/>
  <c r="BN33" i="1"/>
  <c r="BA15" i="4"/>
  <c r="BA27" i="4"/>
  <c r="BA18" i="4"/>
  <c r="BA20" i="4" s="1"/>
  <c r="BA22" i="4" s="1"/>
  <c r="BF33" i="1"/>
  <c r="BF21" i="1"/>
  <c r="BF23" i="1" s="1"/>
  <c r="BF24" i="1" s="1"/>
  <c r="AZ7" i="4"/>
  <c r="BD7" i="4" s="1"/>
  <c r="AZ10" i="4" l="1"/>
  <c r="AZ14" i="4" s="1"/>
  <c r="AZ18" i="4" s="1"/>
  <c r="AZ20" i="4" s="1"/>
  <c r="AZ22" i="4" s="1"/>
  <c r="AZ30" i="4" s="1"/>
  <c r="BA30" i="4"/>
  <c r="BA23" i="4"/>
  <c r="AZ23" i="4"/>
  <c r="AZ8" i="4"/>
  <c r="BI18" i="1"/>
  <c r="BE9" i="1"/>
  <c r="BE13" i="1" s="1"/>
  <c r="BI4" i="1"/>
  <c r="BI5" i="1"/>
  <c r="BE7" i="1"/>
  <c r="BI8" i="1"/>
  <c r="BI11" i="1"/>
  <c r="BI12" i="1"/>
  <c r="BI15" i="1"/>
  <c r="BI16" i="1"/>
  <c r="BI20" i="1"/>
  <c r="BI32" i="1" s="1"/>
  <c r="BI22" i="1"/>
  <c r="BI26" i="1"/>
  <c r="BI27" i="1"/>
  <c r="BE32" i="1"/>
  <c r="BI36" i="1"/>
  <c r="BI39" i="1"/>
  <c r="BI40" i="1"/>
  <c r="BI41" i="1"/>
  <c r="BI42" i="1"/>
  <c r="BD30" i="4" l="1"/>
  <c r="AZ15" i="4"/>
  <c r="AZ27" i="4"/>
  <c r="BD8" i="4"/>
  <c r="BD10" i="4"/>
  <c r="BI6" i="1"/>
  <c r="BI9" i="1" s="1"/>
  <c r="BI13" i="1" s="1"/>
  <c r="BE28" i="1"/>
  <c r="BE17" i="1"/>
  <c r="BE19" i="1" s="1"/>
  <c r="BE14" i="1"/>
  <c r="G19" i="4"/>
  <c r="J19" i="4"/>
  <c r="E19" i="4"/>
  <c r="BD14" i="4" l="1"/>
  <c r="BD27" i="4"/>
  <c r="BD18" i="4"/>
  <c r="BD15" i="4"/>
  <c r="BI7" i="1"/>
  <c r="BI28" i="1"/>
  <c r="BI14" i="1"/>
  <c r="BI17" i="1"/>
  <c r="BI19" i="1" s="1"/>
  <c r="BI31" i="1" s="1"/>
  <c r="BE21" i="1"/>
  <c r="BE23" i="1" s="1"/>
  <c r="BE24" i="1" s="1"/>
  <c r="BE31" i="1"/>
  <c r="BE33" i="1" s="1"/>
  <c r="BD51" i="1"/>
  <c r="BD20" i="4" l="1"/>
  <c r="BI21" i="1"/>
  <c r="BI23" i="1" s="1"/>
  <c r="BI33" i="1" s="1"/>
  <c r="BD22" i="4" l="1"/>
  <c r="BI24" i="1"/>
  <c r="BD23" i="4" l="1"/>
  <c r="BC32" i="1"/>
  <c r="AW7" i="4" l="1"/>
  <c r="AW8" i="4" s="1"/>
  <c r="BB32" i="1"/>
  <c r="AW10" i="4" l="1"/>
  <c r="AW14" i="4" s="1"/>
  <c r="AW18" i="4" l="1"/>
  <c r="AW15" i="4"/>
  <c r="AV7" i="4"/>
  <c r="AV8" i="4" s="1"/>
  <c r="BA32" i="1"/>
  <c r="AV10" i="4" l="1"/>
  <c r="AV14" i="4" s="1"/>
  <c r="AU7" i="4"/>
  <c r="AU8" i="4" s="1"/>
  <c r="AY39" i="4"/>
  <c r="AY38" i="4"/>
  <c r="AY37" i="4"/>
  <c r="AY36" i="4"/>
  <c r="AY33" i="4"/>
  <c r="AY26" i="4"/>
  <c r="AY25" i="4"/>
  <c r="AY21" i="4"/>
  <c r="AY19" i="4"/>
  <c r="AY17" i="4"/>
  <c r="AY16" i="4"/>
  <c r="AY13" i="4"/>
  <c r="AY12" i="4"/>
  <c r="AY9" i="4"/>
  <c r="AX7" i="4"/>
  <c r="AY6" i="4"/>
  <c r="AY5" i="4"/>
  <c r="BD63" i="1"/>
  <c r="BD58" i="1"/>
  <c r="BD49" i="1"/>
  <c r="BD52" i="1" s="1"/>
  <c r="BD42" i="1"/>
  <c r="BD41" i="1"/>
  <c r="BD40" i="1"/>
  <c r="BD39" i="1"/>
  <c r="BD36" i="1"/>
  <c r="AZ32" i="1"/>
  <c r="BD27" i="1"/>
  <c r="BD26" i="1"/>
  <c r="BD22" i="1"/>
  <c r="BD20" i="1"/>
  <c r="BD32" i="1" s="1"/>
  <c r="BD18" i="1"/>
  <c r="BD16" i="1"/>
  <c r="BD15" i="1"/>
  <c r="BD12" i="1"/>
  <c r="BD11" i="1"/>
  <c r="BD8" i="1"/>
  <c r="BC6" i="1"/>
  <c r="BC7" i="1" s="1"/>
  <c r="BB6" i="1"/>
  <c r="BB7" i="1" s="1"/>
  <c r="BA6" i="1"/>
  <c r="AZ6" i="1"/>
  <c r="AZ7" i="1" s="1"/>
  <c r="BD5" i="1"/>
  <c r="BD4" i="1"/>
  <c r="AU10" i="4" l="1"/>
  <c r="AU14" i="4" s="1"/>
  <c r="AU18" i="4" s="1"/>
  <c r="AU20" i="4" s="1"/>
  <c r="AU22" i="4" s="1"/>
  <c r="AX10" i="4"/>
  <c r="AX14" i="4" s="1"/>
  <c r="AX15" i="4" s="1"/>
  <c r="AX8" i="4"/>
  <c r="BA9" i="1"/>
  <c r="BA13" i="1" s="1"/>
  <c r="BA14" i="1" s="1"/>
  <c r="BA7" i="1"/>
  <c r="AZ9" i="1"/>
  <c r="AZ13" i="1" s="1"/>
  <c r="AZ14" i="1" s="1"/>
  <c r="BD64" i="1"/>
  <c r="AV18" i="4"/>
  <c r="AV20" i="4" s="1"/>
  <c r="AV22" i="4" s="1"/>
  <c r="AV15" i="4"/>
  <c r="AY7" i="4"/>
  <c r="AY10" i="4" s="1"/>
  <c r="AY14" i="4" s="1"/>
  <c r="AW27" i="4"/>
  <c r="AV27" i="4"/>
  <c r="BD6" i="1"/>
  <c r="BD7" i="1" s="1"/>
  <c r="BB9" i="1"/>
  <c r="BB13" i="1" s="1"/>
  <c r="BC9" i="1"/>
  <c r="BC13" i="1" s="1"/>
  <c r="BC14" i="1" s="1"/>
  <c r="AS7" i="4"/>
  <c r="AS10" i="4" s="1"/>
  <c r="AS14" i="4" s="1"/>
  <c r="AX32" i="1"/>
  <c r="AU27" i="4" l="1"/>
  <c r="AU15" i="4"/>
  <c r="BA28" i="1"/>
  <c r="BA17" i="1"/>
  <c r="BA19" i="1" s="1"/>
  <c r="BA31" i="1" s="1"/>
  <c r="BA33" i="1" s="1"/>
  <c r="AX18" i="4"/>
  <c r="AX20" i="4" s="1"/>
  <c r="AZ17" i="1"/>
  <c r="AZ19" i="1" s="1"/>
  <c r="AZ21" i="1" s="1"/>
  <c r="AZ23" i="1" s="1"/>
  <c r="AZ24" i="1" s="1"/>
  <c r="AX27" i="4"/>
  <c r="BB17" i="1"/>
  <c r="BB19" i="1" s="1"/>
  <c r="BB31" i="1" s="1"/>
  <c r="BB33" i="1" s="1"/>
  <c r="BB14" i="1"/>
  <c r="AZ28" i="1"/>
  <c r="AV30" i="4"/>
  <c r="AV23" i="4"/>
  <c r="AY8" i="4"/>
  <c r="BD9" i="1"/>
  <c r="BD13" i="1" s="1"/>
  <c r="BD14" i="1" s="1"/>
  <c r="AW20" i="4"/>
  <c r="AW22" i="4" s="1"/>
  <c r="AY27" i="4"/>
  <c r="AY15" i="4"/>
  <c r="AY18" i="4"/>
  <c r="AY20" i="4" s="1"/>
  <c r="AU23" i="4"/>
  <c r="AU30" i="4"/>
  <c r="BB28" i="1"/>
  <c r="BC28" i="1"/>
  <c r="BC17" i="1"/>
  <c r="BC19" i="1" s="1"/>
  <c r="BC31" i="1" s="1"/>
  <c r="BC33" i="1" s="1"/>
  <c r="BA21" i="1"/>
  <c r="BA23" i="1" s="1"/>
  <c r="BA24" i="1" s="1"/>
  <c r="AS18" i="4"/>
  <c r="AS20" i="4" s="1"/>
  <c r="AS15" i="4"/>
  <c r="AS8" i="4"/>
  <c r="AR7" i="4"/>
  <c r="AR10" i="4" s="1"/>
  <c r="AR14" i="4" s="1"/>
  <c r="AW32" i="1"/>
  <c r="AX22" i="4" l="1"/>
  <c r="AY22" i="4"/>
  <c r="BB21" i="1"/>
  <c r="BB23" i="1" s="1"/>
  <c r="BB24" i="1" s="1"/>
  <c r="AZ31" i="1"/>
  <c r="AZ33" i="1" s="1"/>
  <c r="AW23" i="4"/>
  <c r="AW30" i="4"/>
  <c r="AR8" i="4"/>
  <c r="BD28" i="1"/>
  <c r="BD17" i="1"/>
  <c r="BD19" i="1" s="1"/>
  <c r="BD21" i="1" s="1"/>
  <c r="BD23" i="1" s="1"/>
  <c r="BD33" i="1" s="1"/>
  <c r="AY23" i="4"/>
  <c r="BC21" i="1"/>
  <c r="BC23" i="1" s="1"/>
  <c r="BC24" i="1" s="1"/>
  <c r="AR15" i="4"/>
  <c r="AR18" i="4"/>
  <c r="AQ7" i="4"/>
  <c r="AQ10" i="4" s="1"/>
  <c r="AQ14" i="4" s="1"/>
  <c r="AV32" i="1"/>
  <c r="AY30" i="4" l="1"/>
  <c r="AX23" i="4"/>
  <c r="AQ8" i="4"/>
  <c r="BD31" i="1"/>
  <c r="BD24" i="1"/>
  <c r="AQ15" i="4"/>
  <c r="AQ18" i="4"/>
  <c r="AQ20" i="4" s="1"/>
  <c r="AT19" i="4"/>
  <c r="AT17" i="4"/>
  <c r="AT16" i="4"/>
  <c r="AT13" i="4"/>
  <c r="AT12" i="4"/>
  <c r="AT9" i="4"/>
  <c r="AP7" i="4"/>
  <c r="AP10" i="4" s="1"/>
  <c r="AP14" i="4" s="1"/>
  <c r="AT6" i="4"/>
  <c r="AT5" i="4"/>
  <c r="AT39" i="4"/>
  <c r="AT38" i="4"/>
  <c r="AT37" i="4"/>
  <c r="AT36" i="4"/>
  <c r="AT33" i="4"/>
  <c r="AT26" i="4"/>
  <c r="AT25" i="4"/>
  <c r="AT21" i="4"/>
  <c r="AY63" i="1"/>
  <c r="AY58" i="1"/>
  <c r="AY49" i="1"/>
  <c r="AY42" i="1"/>
  <c r="AY41" i="1"/>
  <c r="AY40" i="1"/>
  <c r="AY39" i="1"/>
  <c r="AY36" i="1"/>
  <c r="AU32" i="1"/>
  <c r="AY27" i="1"/>
  <c r="AY26" i="1"/>
  <c r="AY22" i="1"/>
  <c r="AY20" i="1"/>
  <c r="AY32" i="1" s="1"/>
  <c r="AY18" i="1"/>
  <c r="AY16" i="1"/>
  <c r="AY15" i="1"/>
  <c r="AY12" i="1"/>
  <c r="AY11" i="1"/>
  <c r="AY8" i="1"/>
  <c r="AX6" i="1"/>
  <c r="AX7" i="1" s="1"/>
  <c r="AW6" i="1"/>
  <c r="AW7" i="1" s="1"/>
  <c r="AV6" i="1"/>
  <c r="AU6" i="1"/>
  <c r="AU9" i="1" s="1"/>
  <c r="AU13" i="1" s="1"/>
  <c r="AY5" i="1"/>
  <c r="AY4" i="1"/>
  <c r="AY52" i="1" l="1"/>
  <c r="AT7" i="4"/>
  <c r="AT8" i="4" s="1"/>
  <c r="AP8" i="4"/>
  <c r="AV9" i="1"/>
  <c r="AV13" i="1" s="1"/>
  <c r="AV14" i="1" s="1"/>
  <c r="AV7" i="1"/>
  <c r="AY6" i="1"/>
  <c r="AY9" i="1" s="1"/>
  <c r="AY13" i="1" s="1"/>
  <c r="AY64" i="1"/>
  <c r="AP18" i="4"/>
  <c r="AP15" i="4"/>
  <c r="AQ22" i="4"/>
  <c r="AS22" i="4"/>
  <c r="AS30" i="4" s="1"/>
  <c r="AQ27" i="4"/>
  <c r="AS27" i="4"/>
  <c r="AU7" i="1"/>
  <c r="AW9" i="1"/>
  <c r="AW13" i="1" s="1"/>
  <c r="AW14" i="1" s="1"/>
  <c r="AX9" i="1"/>
  <c r="AX13" i="1" s="1"/>
  <c r="AX17" i="1" s="1"/>
  <c r="AX19" i="1" s="1"/>
  <c r="AX31" i="1" s="1"/>
  <c r="AX33" i="1" s="1"/>
  <c r="AU14" i="1"/>
  <c r="AU28" i="1"/>
  <c r="AU17" i="1"/>
  <c r="AU19" i="1" s="1"/>
  <c r="AU31" i="1" s="1"/>
  <c r="AN19" i="4"/>
  <c r="AN9" i="4"/>
  <c r="AO60" i="4"/>
  <c r="AO55" i="4"/>
  <c r="AO48" i="4"/>
  <c r="AO45" i="4"/>
  <c r="AO46" i="4" s="1"/>
  <c r="AN60" i="4"/>
  <c r="AN55" i="4"/>
  <c r="AN48" i="4"/>
  <c r="AN45" i="4"/>
  <c r="AN46" i="4" s="1"/>
  <c r="AN7" i="4"/>
  <c r="AT57" i="1"/>
  <c r="AT51" i="1"/>
  <c r="AT48" i="1"/>
  <c r="AS57" i="1"/>
  <c r="AS51" i="1"/>
  <c r="AS48" i="1"/>
  <c r="AT10" i="4" l="1"/>
  <c r="AT14" i="4" s="1"/>
  <c r="AY7" i="1"/>
  <c r="AN49" i="4"/>
  <c r="AO49" i="4"/>
  <c r="AV28" i="1"/>
  <c r="AV17" i="1"/>
  <c r="AV19" i="1" s="1"/>
  <c r="AX28" i="1"/>
  <c r="AX14" i="1"/>
  <c r="AS23" i="4"/>
  <c r="AQ23" i="4"/>
  <c r="AT18" i="4"/>
  <c r="AT20" i="4" s="1"/>
  <c r="AT22" i="4" s="1"/>
  <c r="AT30" i="4" s="1"/>
  <c r="AT15" i="4"/>
  <c r="AN61" i="4"/>
  <c r="AO61" i="4"/>
  <c r="AR20" i="4"/>
  <c r="AR22" i="4" s="1"/>
  <c r="AR27" i="4"/>
  <c r="AT27" i="4"/>
  <c r="AP20" i="4"/>
  <c r="AP22" i="4" s="1"/>
  <c r="AP23" i="4" s="1"/>
  <c r="AP27" i="4"/>
  <c r="AW28" i="1"/>
  <c r="AW17" i="1"/>
  <c r="AW19" i="1" s="1"/>
  <c r="AU21" i="1"/>
  <c r="AU23" i="1" s="1"/>
  <c r="AU24" i="1" s="1"/>
  <c r="AU33" i="1"/>
  <c r="AV21" i="1"/>
  <c r="AV23" i="1" s="1"/>
  <c r="AV24" i="1" s="1"/>
  <c r="AY14" i="1"/>
  <c r="AY17" i="1"/>
  <c r="AY19" i="1" s="1"/>
  <c r="AY28" i="1"/>
  <c r="AX21" i="1"/>
  <c r="AX23" i="1" s="1"/>
  <c r="AX24" i="1" s="1"/>
  <c r="AN10" i="4"/>
  <c r="AN14" i="4" s="1"/>
  <c r="AN18" i="4" s="1"/>
  <c r="AN20" i="4" s="1"/>
  <c r="AN8" i="4"/>
  <c r="AM19" i="4"/>
  <c r="AM9" i="4"/>
  <c r="AM60" i="4"/>
  <c r="AM55" i="4"/>
  <c r="AM48" i="4"/>
  <c r="AM45" i="4"/>
  <c r="AM46" i="4" s="1"/>
  <c r="AO33" i="4"/>
  <c r="AM7" i="4"/>
  <c r="AL7" i="4"/>
  <c r="AL8" i="4" s="1"/>
  <c r="AK7" i="4"/>
  <c r="AK10" i="4" s="1"/>
  <c r="AK14" i="4" s="1"/>
  <c r="AK15" i="4" s="1"/>
  <c r="AR57" i="1"/>
  <c r="AR51" i="1"/>
  <c r="AR48" i="1"/>
  <c r="AR32" i="1"/>
  <c r="AV31" i="1" l="1"/>
  <c r="AV33" i="1" s="1"/>
  <c r="AM49" i="4"/>
  <c r="AM10" i="4"/>
  <c r="AM14" i="4" s="1"/>
  <c r="AM15" i="4" s="1"/>
  <c r="AR23" i="4"/>
  <c r="AR30" i="4"/>
  <c r="AK8" i="4"/>
  <c r="AM61" i="4"/>
  <c r="AW21" i="1"/>
  <c r="AW23" i="1" s="1"/>
  <c r="AW24" i="1" s="1"/>
  <c r="AW31" i="1"/>
  <c r="AW33" i="1" s="1"/>
  <c r="AM8" i="4"/>
  <c r="AT23" i="4"/>
  <c r="AY21" i="1"/>
  <c r="AY23" i="1" s="1"/>
  <c r="AY31" i="1"/>
  <c r="AN15" i="4"/>
  <c r="AL10" i="4"/>
  <c r="AL14" i="4" s="1"/>
  <c r="AK18" i="4"/>
  <c r="AK20" i="4" s="1"/>
  <c r="AM18" i="4" l="1"/>
  <c r="AM20" i="4" s="1"/>
  <c r="AY24" i="1"/>
  <c r="AY33" i="1"/>
  <c r="AL18" i="4"/>
  <c r="AL20" i="4" s="1"/>
  <c r="AL15" i="4"/>
  <c r="AI13" i="4"/>
  <c r="AI12" i="4"/>
  <c r="AI19" i="4"/>
  <c r="AI7" i="4"/>
  <c r="AI10" i="4" s="1"/>
  <c r="AH13" i="4"/>
  <c r="AH7" i="4"/>
  <c r="AH10" i="4" s="1"/>
  <c r="AH14" i="4" s="1"/>
  <c r="AG7" i="4"/>
  <c r="AG10" i="4" s="1"/>
  <c r="AG14" i="4" s="1"/>
  <c r="AF7" i="4"/>
  <c r="AF8" i="4" s="1"/>
  <c r="AD19" i="4"/>
  <c r="AD7" i="4"/>
  <c r="AD10" i="4" s="1"/>
  <c r="AD14" i="4" s="1"/>
  <c r="AC7" i="4"/>
  <c r="AC10" i="4" s="1"/>
  <c r="AC14" i="4" s="1"/>
  <c r="AB7" i="4"/>
  <c r="AB10" i="4" s="1"/>
  <c r="AB14" i="4" s="1"/>
  <c r="AA7" i="4"/>
  <c r="AA10" i="4" s="1"/>
  <c r="AA14" i="4" s="1"/>
  <c r="AG8" i="4" l="1"/>
  <c r="AI14" i="4"/>
  <c r="AI18" i="4" s="1"/>
  <c r="AI20" i="4" s="1"/>
  <c r="AI8" i="4"/>
  <c r="AH18" i="4"/>
  <c r="AH20" i="4" s="1"/>
  <c r="AH15" i="4"/>
  <c r="AH8" i="4"/>
  <c r="AG15" i="4"/>
  <c r="AG18" i="4"/>
  <c r="AG20" i="4" s="1"/>
  <c r="AF10" i="4"/>
  <c r="AF14" i="4" s="1"/>
  <c r="AD18" i="4"/>
  <c r="AD20" i="4" s="1"/>
  <c r="AD15" i="4"/>
  <c r="AA18" i="4"/>
  <c r="AA20" i="4" s="1"/>
  <c r="AA15" i="4"/>
  <c r="AB18" i="4"/>
  <c r="AB20" i="4" s="1"/>
  <c r="AB15" i="4"/>
  <c r="AC18" i="4"/>
  <c r="AC20" i="4" s="1"/>
  <c r="AC15" i="4"/>
  <c r="AB8" i="4"/>
  <c r="AC8" i="4"/>
  <c r="AD8" i="4"/>
  <c r="AA8" i="4"/>
  <c r="AL60" i="4"/>
  <c r="AL55" i="4"/>
  <c r="AL48" i="4"/>
  <c r="AL46" i="4"/>
  <c r="AQ51" i="1"/>
  <c r="AQ32" i="1"/>
  <c r="AL61" i="4" l="1"/>
  <c r="AL49" i="4"/>
  <c r="AI15" i="4"/>
  <c r="AF18" i="4"/>
  <c r="AF20" i="4" s="1"/>
  <c r="AF15" i="4"/>
  <c r="AK60" i="4"/>
  <c r="AK55" i="4"/>
  <c r="AK48" i="4"/>
  <c r="AK46" i="4"/>
  <c r="AP51" i="1"/>
  <c r="AO39" i="4"/>
  <c r="AO38" i="4"/>
  <c r="AO37" i="4"/>
  <c r="AO36" i="4"/>
  <c r="AO26" i="4"/>
  <c r="AO25" i="4"/>
  <c r="AO21" i="4"/>
  <c r="AO19" i="4"/>
  <c r="AO17" i="4"/>
  <c r="AO16" i="4"/>
  <c r="AO13" i="4"/>
  <c r="AO12" i="4"/>
  <c r="AO9" i="4"/>
  <c r="AO6" i="4"/>
  <c r="AO5" i="4"/>
  <c r="AT63" i="1"/>
  <c r="AS63" i="1"/>
  <c r="AR63" i="1"/>
  <c r="AQ63" i="1"/>
  <c r="AP63" i="1"/>
  <c r="AT58" i="1"/>
  <c r="AS58" i="1"/>
  <c r="AR58" i="1"/>
  <c r="AQ58" i="1"/>
  <c r="AP58" i="1"/>
  <c r="AT49" i="1"/>
  <c r="AT52" i="1" s="1"/>
  <c r="AS49" i="1"/>
  <c r="AS52" i="1" s="1"/>
  <c r="AR49" i="1"/>
  <c r="AR52" i="1" s="1"/>
  <c r="AQ49" i="1"/>
  <c r="AQ52" i="1" s="1"/>
  <c r="AP49" i="1"/>
  <c r="AT42" i="1"/>
  <c r="AT41" i="1"/>
  <c r="AT40" i="1"/>
  <c r="AT39" i="1"/>
  <c r="AT36" i="1"/>
  <c r="AP32" i="1"/>
  <c r="AT27" i="1"/>
  <c r="AT26" i="1"/>
  <c r="AT22" i="1"/>
  <c r="AT20" i="1"/>
  <c r="AT32" i="1" s="1"/>
  <c r="AT18" i="1"/>
  <c r="AT16" i="1"/>
  <c r="AT15" i="1"/>
  <c r="AT12" i="1"/>
  <c r="AT11" i="1"/>
  <c r="AT8" i="1"/>
  <c r="AS6" i="1"/>
  <c r="AR6" i="1"/>
  <c r="AR7" i="1" s="1"/>
  <c r="AQ6" i="1"/>
  <c r="AQ7" i="1" s="1"/>
  <c r="AP6" i="1"/>
  <c r="AP9" i="1" s="1"/>
  <c r="AP13" i="1" s="1"/>
  <c r="AT5" i="1"/>
  <c r="AT4" i="1"/>
  <c r="AS9" i="1" l="1"/>
  <c r="AS13" i="1" s="1"/>
  <c r="AS17" i="1" s="1"/>
  <c r="AS19" i="1" s="1"/>
  <c r="AS31" i="1" s="1"/>
  <c r="AS33" i="1" s="1"/>
  <c r="AS7" i="1"/>
  <c r="AP52" i="1"/>
  <c r="AK61" i="4"/>
  <c r="AR64" i="1"/>
  <c r="AP64" i="1"/>
  <c r="AS64" i="1"/>
  <c r="AK49" i="4"/>
  <c r="AT6" i="1"/>
  <c r="AT7" i="1" s="1"/>
  <c r="AN27" i="4"/>
  <c r="AO7" i="4"/>
  <c r="AO10" i="4" s="1"/>
  <c r="AO14" i="4" s="1"/>
  <c r="AM22" i="4"/>
  <c r="AM27" i="4"/>
  <c r="AT64" i="1"/>
  <c r="AQ64" i="1"/>
  <c r="AQ9" i="1"/>
  <c r="AQ13" i="1" s="1"/>
  <c r="AR9" i="1"/>
  <c r="AR13" i="1" s="1"/>
  <c r="AR14" i="1" s="1"/>
  <c r="AP28" i="1"/>
  <c r="AP14" i="1"/>
  <c r="AP17" i="1"/>
  <c r="AP19" i="1" s="1"/>
  <c r="AP7" i="1"/>
  <c r="AS28" i="1" l="1"/>
  <c r="AS14" i="1"/>
  <c r="AM23" i="4"/>
  <c r="AM30" i="4"/>
  <c r="AQ17" i="1"/>
  <c r="AQ19" i="1" s="1"/>
  <c r="AQ31" i="1" s="1"/>
  <c r="AQ33" i="1" s="1"/>
  <c r="AQ14" i="1"/>
  <c r="AO8" i="4"/>
  <c r="AK22" i="4"/>
  <c r="AK30" i="4" s="1"/>
  <c r="AK27" i="4"/>
  <c r="AT9" i="1"/>
  <c r="AT13" i="1" s="1"/>
  <c r="AT28" i="1" s="1"/>
  <c r="AN22" i="4"/>
  <c r="AL22" i="4"/>
  <c r="AL27" i="4"/>
  <c r="AO27" i="4"/>
  <c r="AO15" i="4"/>
  <c r="AO18" i="4"/>
  <c r="AO20" i="4" s="1"/>
  <c r="AO22" i="4" s="1"/>
  <c r="AQ28" i="1"/>
  <c r="AR28" i="1"/>
  <c r="AR17" i="1"/>
  <c r="AR19" i="1" s="1"/>
  <c r="AR31" i="1" s="1"/>
  <c r="AR33" i="1" s="1"/>
  <c r="AS21" i="1"/>
  <c r="AS23" i="1" s="1"/>
  <c r="AS24" i="1" s="1"/>
  <c r="AP21" i="1"/>
  <c r="AP23" i="1" s="1"/>
  <c r="AP24" i="1" s="1"/>
  <c r="AP31" i="1"/>
  <c r="AP33" i="1" s="1"/>
  <c r="AJ60" i="4"/>
  <c r="AJ55" i="4"/>
  <c r="AJ48" i="4"/>
  <c r="AJ46" i="4"/>
  <c r="AI60" i="4"/>
  <c r="AI55" i="4"/>
  <c r="AI48" i="4"/>
  <c r="AI46" i="4"/>
  <c r="AO51" i="1"/>
  <c r="AO49" i="1"/>
  <c r="AO58" i="1"/>
  <c r="AO63" i="1"/>
  <c r="AN51" i="1"/>
  <c r="AN32" i="1"/>
  <c r="AI49" i="4" l="1"/>
  <c r="AJ61" i="4"/>
  <c r="AN30" i="4"/>
  <c r="AN23" i="4"/>
  <c r="AQ21" i="1"/>
  <c r="AQ23" i="1" s="1"/>
  <c r="AQ24" i="1" s="1"/>
  <c r="AK23" i="4"/>
  <c r="AL23" i="4"/>
  <c r="AL30" i="4"/>
  <c r="AJ49" i="4"/>
  <c r="AI61" i="4"/>
  <c r="AT17" i="1"/>
  <c r="AT19" i="1" s="1"/>
  <c r="AT21" i="1" s="1"/>
  <c r="AT23" i="1" s="1"/>
  <c r="AT14" i="1"/>
  <c r="AO23" i="4"/>
  <c r="AO30" i="4"/>
  <c r="AR21" i="1"/>
  <c r="AR23" i="1" s="1"/>
  <c r="AR24" i="1" s="1"/>
  <c r="AO64" i="1"/>
  <c r="AO52" i="1"/>
  <c r="AH60" i="4"/>
  <c r="AH55" i="4"/>
  <c r="AH48" i="4"/>
  <c r="AH46" i="4"/>
  <c r="AM51" i="1"/>
  <c r="AM32" i="1"/>
  <c r="AH49" i="4" l="1"/>
  <c r="AH61" i="4"/>
  <c r="AT31" i="1"/>
  <c r="AT33" i="1"/>
  <c r="AT24" i="1"/>
  <c r="AG60" i="4"/>
  <c r="AG55" i="4"/>
  <c r="AG48" i="4"/>
  <c r="AG46" i="4"/>
  <c r="AL51" i="1"/>
  <c r="AL32" i="1"/>
  <c r="AE19" i="4"/>
  <c r="AE17" i="4"/>
  <c r="AE16" i="4"/>
  <c r="AE13" i="4"/>
  <c r="AE12" i="4"/>
  <c r="AE9" i="4"/>
  <c r="AE6" i="4"/>
  <c r="AE5" i="4"/>
  <c r="AG61" i="4" l="1"/>
  <c r="AG49" i="4"/>
  <c r="AE7" i="4"/>
  <c r="AE10" i="4" s="1"/>
  <c r="AE14" i="4" s="1"/>
  <c r="AF60" i="4"/>
  <c r="AF55" i="4"/>
  <c r="AF48" i="4"/>
  <c r="AF46" i="4"/>
  <c r="AK51" i="1"/>
  <c r="AE8" i="4" l="1"/>
  <c r="AF61" i="4"/>
  <c r="AF49" i="4"/>
  <c r="AE15" i="4"/>
  <c r="AE18" i="4"/>
  <c r="AE20" i="4" s="1"/>
  <c r="AJ39" i="4"/>
  <c r="AJ38" i="4"/>
  <c r="AJ37" i="4"/>
  <c r="AJ36" i="4"/>
  <c r="AJ33" i="4"/>
  <c r="AJ25" i="4"/>
  <c r="AJ21" i="4"/>
  <c r="AJ19" i="4"/>
  <c r="AJ17" i="4"/>
  <c r="AJ16" i="4"/>
  <c r="AJ13" i="4"/>
  <c r="AJ12" i="4"/>
  <c r="AJ9" i="4"/>
  <c r="AJ6" i="4"/>
  <c r="AJ5" i="4"/>
  <c r="AN63" i="1"/>
  <c r="AM63" i="1"/>
  <c r="AL63" i="1"/>
  <c r="AK63" i="1"/>
  <c r="AN58" i="1"/>
  <c r="AM58" i="1"/>
  <c r="AL58" i="1"/>
  <c r="AK58" i="1"/>
  <c r="AN49" i="1"/>
  <c r="AN52" i="1" s="1"/>
  <c r="AM49" i="1"/>
  <c r="AM52" i="1" s="1"/>
  <c r="AL49" i="1"/>
  <c r="AL52" i="1" s="1"/>
  <c r="AK49" i="1"/>
  <c r="AO42" i="1"/>
  <c r="AO41" i="1"/>
  <c r="AO40" i="1"/>
  <c r="AO39" i="1"/>
  <c r="AO36" i="1"/>
  <c r="AK32" i="1"/>
  <c r="AO27" i="1"/>
  <c r="AO26" i="1"/>
  <c r="AO22" i="1"/>
  <c r="AO20" i="1"/>
  <c r="AO32" i="1" s="1"/>
  <c r="AO18" i="1"/>
  <c r="AO16" i="1"/>
  <c r="AO15" i="1"/>
  <c r="AO12" i="1"/>
  <c r="AO11" i="1"/>
  <c r="AO8" i="1"/>
  <c r="AN6" i="1"/>
  <c r="AN7" i="1" s="1"/>
  <c r="AM6" i="1"/>
  <c r="AM7" i="1" s="1"/>
  <c r="AL6" i="1"/>
  <c r="AK6" i="1"/>
  <c r="AK9" i="1" s="1"/>
  <c r="AK13" i="1" s="1"/>
  <c r="AK17" i="1" s="1"/>
  <c r="AK19" i="1" s="1"/>
  <c r="AO5" i="1"/>
  <c r="AO4" i="1"/>
  <c r="W19" i="4"/>
  <c r="AE60" i="4"/>
  <c r="AE55" i="4"/>
  <c r="AE48" i="4"/>
  <c r="AE46" i="4"/>
  <c r="AD60" i="4"/>
  <c r="AD55" i="4"/>
  <c r="AD48" i="4"/>
  <c r="AD46" i="4"/>
  <c r="AJ51" i="1"/>
  <c r="AJ49" i="1"/>
  <c r="AJ58" i="1"/>
  <c r="AJ63" i="1"/>
  <c r="AI51" i="1"/>
  <c r="AI32" i="1"/>
  <c r="AC60" i="4"/>
  <c r="AC55" i="4"/>
  <c r="AC48" i="4"/>
  <c r="AC46" i="4"/>
  <c r="AH51" i="1"/>
  <c r="AH32" i="1"/>
  <c r="AB60" i="4"/>
  <c r="AB55" i="4"/>
  <c r="AB48" i="4"/>
  <c r="AB46" i="4"/>
  <c r="AG51" i="1"/>
  <c r="AG32" i="1"/>
  <c r="AA60" i="4"/>
  <c r="AA55" i="4"/>
  <c r="AA48" i="4"/>
  <c r="AA46" i="4"/>
  <c r="AF51" i="1"/>
  <c r="AE39" i="4"/>
  <c r="AE38" i="4"/>
  <c r="AE37" i="4"/>
  <c r="AE36" i="4"/>
  <c r="AE33" i="4"/>
  <c r="AE25" i="4"/>
  <c r="AE21" i="4"/>
  <c r="AI63" i="1"/>
  <c r="AH63" i="1"/>
  <c r="AG63" i="1"/>
  <c r="AF63" i="1"/>
  <c r="AI58" i="1"/>
  <c r="AH58" i="1"/>
  <c r="AG58" i="1"/>
  <c r="AF58" i="1"/>
  <c r="AI49" i="1"/>
  <c r="AH49" i="1"/>
  <c r="AG49" i="1"/>
  <c r="AF49" i="1"/>
  <c r="AJ42" i="1"/>
  <c r="AJ41" i="1"/>
  <c r="AJ40" i="1"/>
  <c r="AJ39" i="1"/>
  <c r="AJ36" i="1"/>
  <c r="AF32" i="1"/>
  <c r="AJ27" i="1"/>
  <c r="AJ26" i="1"/>
  <c r="AJ22" i="1"/>
  <c r="AJ20" i="1"/>
  <c r="AJ32" i="1" s="1"/>
  <c r="AJ18" i="1"/>
  <c r="AJ16" i="1"/>
  <c r="AJ15" i="1"/>
  <c r="AJ12" i="1"/>
  <c r="AJ11" i="1"/>
  <c r="AJ8" i="1"/>
  <c r="AI6" i="1"/>
  <c r="AI9" i="1" s="1"/>
  <c r="AI13" i="1" s="1"/>
  <c r="AI14" i="1" s="1"/>
  <c r="AH6" i="1"/>
  <c r="AH9" i="1" s="1"/>
  <c r="AH13" i="1" s="1"/>
  <c r="AH14" i="1" s="1"/>
  <c r="AG6" i="1"/>
  <c r="AF6" i="1"/>
  <c r="AF9" i="1" s="1"/>
  <c r="AF13" i="1" s="1"/>
  <c r="AJ5" i="1"/>
  <c r="AJ4" i="1"/>
  <c r="Y19" i="4"/>
  <c r="Y13" i="4"/>
  <c r="Z13" i="4" s="1"/>
  <c r="Y6" i="4"/>
  <c r="Y7" i="4" s="1"/>
  <c r="Y10" i="4" s="1"/>
  <c r="Z60" i="4"/>
  <c r="Y60" i="4"/>
  <c r="Z55" i="4"/>
  <c r="Y55" i="4"/>
  <c r="Z48" i="4"/>
  <c r="Y48" i="4"/>
  <c r="Z46" i="4"/>
  <c r="Y46" i="4"/>
  <c r="Z39" i="4"/>
  <c r="Z38" i="4"/>
  <c r="Z37" i="4"/>
  <c r="Z36" i="4"/>
  <c r="AE51" i="1"/>
  <c r="AD51" i="1"/>
  <c r="X7" i="4"/>
  <c r="X8" i="4" s="1"/>
  <c r="X60" i="4"/>
  <c r="X55" i="4"/>
  <c r="X48" i="4"/>
  <c r="X46" i="4"/>
  <c r="AC51" i="1"/>
  <c r="W60" i="4"/>
  <c r="W55" i="4"/>
  <c r="W48" i="4"/>
  <c r="W46" i="4"/>
  <c r="AB51" i="1"/>
  <c r="W7" i="4"/>
  <c r="W10" i="4" s="1"/>
  <c r="W14" i="4" s="1"/>
  <c r="V60" i="4"/>
  <c r="V55" i="4"/>
  <c r="V46" i="4"/>
  <c r="V49" i="4" s="1"/>
  <c r="V7" i="4"/>
  <c r="V10" i="4" s="1"/>
  <c r="V14" i="4" s="1"/>
  <c r="Z33" i="4"/>
  <c r="Y26" i="4"/>
  <c r="W26" i="4"/>
  <c r="V26" i="4"/>
  <c r="Z25" i="4"/>
  <c r="Z21" i="4"/>
  <c r="Z17" i="4"/>
  <c r="Z16" i="4"/>
  <c r="Z12" i="4"/>
  <c r="Z9" i="4"/>
  <c r="Z5" i="4"/>
  <c r="AE63" i="1"/>
  <c r="AD63" i="1"/>
  <c r="AC63" i="1"/>
  <c r="AB63" i="1"/>
  <c r="AA63" i="1"/>
  <c r="AE58" i="1"/>
  <c r="AD58" i="1"/>
  <c r="AC58" i="1"/>
  <c r="AB58" i="1"/>
  <c r="AA58" i="1"/>
  <c r="AE49" i="1"/>
  <c r="AD49" i="1"/>
  <c r="AC49" i="1"/>
  <c r="AB49" i="1"/>
  <c r="AA49" i="1"/>
  <c r="AA52" i="1" s="1"/>
  <c r="AE42" i="1"/>
  <c r="AE41" i="1"/>
  <c r="AE40" i="1"/>
  <c r="AE39" i="1"/>
  <c r="AE36" i="1"/>
  <c r="AD32" i="1"/>
  <c r="AC32" i="1"/>
  <c r="AB32" i="1"/>
  <c r="AA32" i="1"/>
  <c r="AD27" i="1"/>
  <c r="AB27" i="1"/>
  <c r="AA27" i="1"/>
  <c r="AE26" i="1"/>
  <c r="AE22" i="1"/>
  <c r="AE20" i="1"/>
  <c r="AE32" i="1" s="1"/>
  <c r="AE18" i="1"/>
  <c r="AE16" i="1"/>
  <c r="AE15" i="1"/>
  <c r="AE12" i="1"/>
  <c r="AE11" i="1"/>
  <c r="AE8" i="1"/>
  <c r="AD6" i="1"/>
  <c r="AD9" i="1" s="1"/>
  <c r="AD13" i="1" s="1"/>
  <c r="AC6" i="1"/>
  <c r="AC9" i="1" s="1"/>
  <c r="AC13" i="1" s="1"/>
  <c r="AB6" i="1"/>
  <c r="AB9" i="1" s="1"/>
  <c r="AB13" i="1" s="1"/>
  <c r="AA6" i="1"/>
  <c r="AA9" i="1" s="1"/>
  <c r="AA13" i="1" s="1"/>
  <c r="AE5" i="1"/>
  <c r="AE4" i="1"/>
  <c r="Z63" i="1"/>
  <c r="Y63" i="1"/>
  <c r="Z58" i="1"/>
  <c r="Y58" i="1"/>
  <c r="Z51" i="1"/>
  <c r="Y51" i="1"/>
  <c r="Z49" i="1"/>
  <c r="Y49" i="1"/>
  <c r="Z18" i="1"/>
  <c r="Z16" i="1"/>
  <c r="Z15" i="1"/>
  <c r="Z12" i="1"/>
  <c r="Z11" i="1"/>
  <c r="Z8" i="1"/>
  <c r="Y6" i="1"/>
  <c r="Y7" i="1" s="1"/>
  <c r="Z5" i="1"/>
  <c r="Z4" i="1"/>
  <c r="U48" i="4"/>
  <c r="T48" i="4"/>
  <c r="Q13" i="4"/>
  <c r="U13" i="4" s="1"/>
  <c r="Q9" i="4"/>
  <c r="S60" i="4"/>
  <c r="S55" i="4"/>
  <c r="S46" i="4"/>
  <c r="S49" i="4" s="1"/>
  <c r="S7" i="4"/>
  <c r="S8" i="4" s="1"/>
  <c r="R60" i="4"/>
  <c r="R55" i="4"/>
  <c r="R46" i="4"/>
  <c r="R49" i="4" s="1"/>
  <c r="R7" i="4"/>
  <c r="R10" i="4" s="1"/>
  <c r="R14" i="4" s="1"/>
  <c r="R18" i="4" s="1"/>
  <c r="Q19" i="4"/>
  <c r="U19" i="4" s="1"/>
  <c r="T60" i="4"/>
  <c r="Q60" i="4"/>
  <c r="T55" i="4"/>
  <c r="Q55" i="4"/>
  <c r="T46" i="4"/>
  <c r="T49" i="4" s="1"/>
  <c r="Q46" i="4"/>
  <c r="Q49" i="4" s="1"/>
  <c r="Y27" i="1"/>
  <c r="X27" i="1"/>
  <c r="W27" i="1"/>
  <c r="U60" i="4"/>
  <c r="U55" i="4"/>
  <c r="U46" i="4"/>
  <c r="U49" i="4" s="1"/>
  <c r="U39" i="4"/>
  <c r="U38" i="4"/>
  <c r="U37" i="4"/>
  <c r="U36" i="4"/>
  <c r="U33" i="4"/>
  <c r="T26" i="4"/>
  <c r="S26" i="4"/>
  <c r="R26" i="4"/>
  <c r="Q26" i="4"/>
  <c r="U25" i="4"/>
  <c r="U21" i="4"/>
  <c r="U17" i="4"/>
  <c r="U16" i="4"/>
  <c r="U12" i="4"/>
  <c r="U9" i="4"/>
  <c r="T7" i="4"/>
  <c r="T10" i="4" s="1"/>
  <c r="T14" i="4" s="1"/>
  <c r="Q7" i="4"/>
  <c r="Q8" i="4" s="1"/>
  <c r="U6" i="4"/>
  <c r="U5" i="4"/>
  <c r="X63" i="1"/>
  <c r="W63" i="1"/>
  <c r="V63" i="1"/>
  <c r="X58" i="1"/>
  <c r="W58" i="1"/>
  <c r="V58" i="1"/>
  <c r="X49" i="1"/>
  <c r="X52" i="1" s="1"/>
  <c r="W49" i="1"/>
  <c r="W52" i="1" s="1"/>
  <c r="V49" i="1"/>
  <c r="V52" i="1" s="1"/>
  <c r="Z42" i="1"/>
  <c r="Z41" i="1"/>
  <c r="Z40" i="1"/>
  <c r="Z39" i="1"/>
  <c r="Z36" i="1"/>
  <c r="Y32" i="1"/>
  <c r="X32" i="1"/>
  <c r="W32" i="1"/>
  <c r="V32" i="1"/>
  <c r="V27" i="1"/>
  <c r="Z26" i="1"/>
  <c r="Z22" i="1"/>
  <c r="Z20" i="1"/>
  <c r="Z32" i="1" s="1"/>
  <c r="X6" i="1"/>
  <c r="X9" i="1" s="1"/>
  <c r="X13" i="1" s="1"/>
  <c r="W6" i="1"/>
  <c r="W9" i="1" s="1"/>
  <c r="W13" i="1" s="1"/>
  <c r="V6" i="1"/>
  <c r="V9" i="1" s="1"/>
  <c r="V13" i="1" s="1"/>
  <c r="O19" i="4"/>
  <c r="P60" i="4"/>
  <c r="P55" i="4"/>
  <c r="P46" i="4"/>
  <c r="P49" i="4" s="1"/>
  <c r="O60" i="4"/>
  <c r="O55" i="4"/>
  <c r="O46" i="4"/>
  <c r="O49" i="4" s="1"/>
  <c r="N55" i="4"/>
  <c r="N60" i="4"/>
  <c r="N46" i="4"/>
  <c r="N49" i="4" s="1"/>
  <c r="N7" i="4"/>
  <c r="N10" i="4" s="1"/>
  <c r="N14" i="4" s="1"/>
  <c r="M26" i="4"/>
  <c r="M19" i="4"/>
  <c r="M13" i="4"/>
  <c r="L19" i="4"/>
  <c r="L9" i="4"/>
  <c r="P9" i="4" s="1"/>
  <c r="M55" i="4"/>
  <c r="M60" i="4"/>
  <c r="M46" i="4"/>
  <c r="M49" i="4" s="1"/>
  <c r="M7" i="4"/>
  <c r="Q58" i="1"/>
  <c r="Q63" i="1"/>
  <c r="Q49" i="1"/>
  <c r="Q52" i="1" s="1"/>
  <c r="J13" i="4"/>
  <c r="I13" i="4"/>
  <c r="H13" i="4"/>
  <c r="G13" i="4"/>
  <c r="E13" i="4"/>
  <c r="D13" i="4"/>
  <c r="C13" i="4"/>
  <c r="B13" i="4"/>
  <c r="L55" i="4"/>
  <c r="L60" i="4"/>
  <c r="L46" i="4"/>
  <c r="L49" i="4" s="1"/>
  <c r="P39" i="4"/>
  <c r="P38" i="4"/>
  <c r="P37" i="4"/>
  <c r="P36" i="4"/>
  <c r="P33" i="4"/>
  <c r="P5" i="4"/>
  <c r="P6" i="4"/>
  <c r="P12" i="4"/>
  <c r="P16" i="4"/>
  <c r="P17" i="4"/>
  <c r="P21" i="4"/>
  <c r="P25" i="4"/>
  <c r="L26" i="4"/>
  <c r="N26" i="4"/>
  <c r="O26" i="4"/>
  <c r="L13" i="4"/>
  <c r="P13" i="4" s="1"/>
  <c r="O7" i="4"/>
  <c r="L7" i="4"/>
  <c r="K21" i="4"/>
  <c r="F21" i="4"/>
  <c r="Q12" i="1"/>
  <c r="U12" i="1" s="1"/>
  <c r="U58" i="1"/>
  <c r="U63" i="1"/>
  <c r="T58" i="1"/>
  <c r="T63" i="1"/>
  <c r="S58" i="1"/>
  <c r="S63" i="1"/>
  <c r="R58" i="1"/>
  <c r="R63" i="1"/>
  <c r="U49" i="1"/>
  <c r="U52" i="1" s="1"/>
  <c r="T49" i="1"/>
  <c r="T52" i="1" s="1"/>
  <c r="S49" i="1"/>
  <c r="S52" i="1" s="1"/>
  <c r="R49" i="1"/>
  <c r="R52" i="1" s="1"/>
  <c r="U42" i="1"/>
  <c r="U41" i="1"/>
  <c r="U40" i="1"/>
  <c r="U39" i="1"/>
  <c r="U36" i="1"/>
  <c r="U4" i="1"/>
  <c r="U5" i="1"/>
  <c r="U8" i="1"/>
  <c r="U11" i="1"/>
  <c r="U15" i="1"/>
  <c r="U16" i="1"/>
  <c r="U18" i="1"/>
  <c r="U20" i="1"/>
  <c r="U32" i="1" s="1"/>
  <c r="U22" i="1"/>
  <c r="T6" i="1"/>
  <c r="T9" i="1" s="1"/>
  <c r="T13" i="1" s="1"/>
  <c r="T32" i="1"/>
  <c r="S6" i="1"/>
  <c r="S9" i="1" s="1"/>
  <c r="S13" i="1" s="1"/>
  <c r="S32" i="1"/>
  <c r="R6" i="1"/>
  <c r="R9" i="1" s="1"/>
  <c r="R13" i="1" s="1"/>
  <c r="R32" i="1"/>
  <c r="Q6" i="1"/>
  <c r="Q32" i="1"/>
  <c r="U26" i="1"/>
  <c r="Q27" i="1"/>
  <c r="R27" i="1"/>
  <c r="S27" i="1"/>
  <c r="T27" i="1"/>
  <c r="O32" i="1"/>
  <c r="N32" i="1"/>
  <c r="M32" i="1"/>
  <c r="L32" i="1"/>
  <c r="J32" i="1"/>
  <c r="I32" i="1"/>
  <c r="H32" i="1"/>
  <c r="G32" i="1"/>
  <c r="E32" i="1"/>
  <c r="D32" i="1"/>
  <c r="C32" i="1"/>
  <c r="B32" i="1"/>
  <c r="O12" i="1"/>
  <c r="N12" i="1"/>
  <c r="M12" i="1"/>
  <c r="L12" i="1"/>
  <c r="J12" i="1"/>
  <c r="I12" i="1"/>
  <c r="H12" i="1"/>
  <c r="G12" i="1"/>
  <c r="E12" i="1"/>
  <c r="D12" i="1"/>
  <c r="C12" i="1"/>
  <c r="B12" i="1"/>
  <c r="P22" i="1"/>
  <c r="K22" i="1"/>
  <c r="F22" i="1"/>
  <c r="P20" i="1"/>
  <c r="P32" i="1" s="1"/>
  <c r="K20" i="1"/>
  <c r="K32" i="1" s="1"/>
  <c r="F20" i="1"/>
  <c r="F32" i="1" s="1"/>
  <c r="D19" i="4"/>
  <c r="I19" i="4"/>
  <c r="J9" i="4"/>
  <c r="J6" i="4"/>
  <c r="J7" i="4" s="1"/>
  <c r="I6" i="4"/>
  <c r="H9" i="4"/>
  <c r="G9" i="4"/>
  <c r="K55" i="4"/>
  <c r="K60" i="4"/>
  <c r="J55" i="4"/>
  <c r="J60" i="4"/>
  <c r="K46" i="4"/>
  <c r="K49" i="4" s="1"/>
  <c r="J46" i="4"/>
  <c r="J49" i="4" s="1"/>
  <c r="K5" i="4"/>
  <c r="K12" i="4"/>
  <c r="K16" i="4"/>
  <c r="K17" i="4"/>
  <c r="H19" i="4"/>
  <c r="P58" i="1"/>
  <c r="P63" i="1"/>
  <c r="P49" i="1"/>
  <c r="P52" i="1" s="1"/>
  <c r="I55" i="4"/>
  <c r="I59" i="4"/>
  <c r="I60" i="4" s="1"/>
  <c r="I46" i="4"/>
  <c r="I49" i="4" s="1"/>
  <c r="N62" i="1"/>
  <c r="N63" i="1" s="1"/>
  <c r="N6" i="1"/>
  <c r="N9" i="1" s="1"/>
  <c r="H55" i="4"/>
  <c r="H59" i="4"/>
  <c r="H60" i="4" s="1"/>
  <c r="G55" i="4"/>
  <c r="G59" i="4"/>
  <c r="G60" i="4" s="1"/>
  <c r="H46" i="4"/>
  <c r="H49" i="4" s="1"/>
  <c r="G46" i="4"/>
  <c r="G49" i="4" s="1"/>
  <c r="G7" i="4"/>
  <c r="H7" i="4"/>
  <c r="K39" i="4"/>
  <c r="K38" i="4"/>
  <c r="K37" i="4"/>
  <c r="K36" i="4"/>
  <c r="K33" i="4"/>
  <c r="K25" i="4"/>
  <c r="G26" i="4"/>
  <c r="H26" i="4"/>
  <c r="I26" i="4"/>
  <c r="J26" i="4"/>
  <c r="O6" i="1"/>
  <c r="O9" i="1" s="1"/>
  <c r="L6" i="1"/>
  <c r="L9" i="1" s="1"/>
  <c r="M6" i="1"/>
  <c r="M9" i="1" s="1"/>
  <c r="M62" i="1"/>
  <c r="M63" i="1" s="1"/>
  <c r="M58" i="1"/>
  <c r="O27" i="1"/>
  <c r="N27" i="1"/>
  <c r="M27" i="1"/>
  <c r="L62" i="1"/>
  <c r="L63" i="1" s="1"/>
  <c r="L58" i="1"/>
  <c r="O58" i="1"/>
  <c r="O63" i="1"/>
  <c r="N58" i="1"/>
  <c r="O49" i="1"/>
  <c r="O52" i="1" s="1"/>
  <c r="N49" i="1"/>
  <c r="N52" i="1" s="1"/>
  <c r="M49" i="1"/>
  <c r="M52" i="1" s="1"/>
  <c r="L49" i="1"/>
  <c r="L52" i="1" s="1"/>
  <c r="L27" i="1"/>
  <c r="P42" i="1"/>
  <c r="P41" i="1"/>
  <c r="P40" i="1"/>
  <c r="P39" i="1"/>
  <c r="P36" i="1"/>
  <c r="P4" i="1"/>
  <c r="P5" i="1"/>
  <c r="P8" i="1"/>
  <c r="P11" i="1"/>
  <c r="P15" i="1"/>
  <c r="P16" i="1"/>
  <c r="P18" i="1"/>
  <c r="P26" i="1"/>
  <c r="F5" i="4"/>
  <c r="E6" i="4"/>
  <c r="F6" i="4" s="1"/>
  <c r="B7" i="4"/>
  <c r="B8" i="4" s="1"/>
  <c r="C7" i="4"/>
  <c r="C8" i="4" s="1"/>
  <c r="D7" i="4"/>
  <c r="D8" i="4" s="1"/>
  <c r="B9" i="4"/>
  <c r="C9" i="4"/>
  <c r="D9" i="4"/>
  <c r="E9" i="4"/>
  <c r="F12" i="4"/>
  <c r="F16" i="4"/>
  <c r="F17" i="4"/>
  <c r="B19" i="4"/>
  <c r="C19" i="4"/>
  <c r="F25" i="4"/>
  <c r="B26" i="4"/>
  <c r="C26" i="4"/>
  <c r="D26" i="4"/>
  <c r="E26" i="4"/>
  <c r="F33" i="4"/>
  <c r="F36" i="4"/>
  <c r="F37" i="4"/>
  <c r="F38" i="4"/>
  <c r="F39" i="4"/>
  <c r="F43" i="4"/>
  <c r="F44" i="4"/>
  <c r="F45" i="4"/>
  <c r="F47" i="4"/>
  <c r="F48" i="4"/>
  <c r="F51" i="4"/>
  <c r="F58" i="4"/>
  <c r="F59" i="4"/>
  <c r="K46" i="1"/>
  <c r="K47" i="1"/>
  <c r="F48" i="1"/>
  <c r="F49" i="1" s="1"/>
  <c r="K48" i="1"/>
  <c r="K50" i="1"/>
  <c r="F51" i="1"/>
  <c r="K51" i="1"/>
  <c r="K54" i="1"/>
  <c r="K57" i="1"/>
  <c r="F58" i="1"/>
  <c r="K61" i="1"/>
  <c r="K63" i="1" s="1"/>
  <c r="F63" i="1"/>
  <c r="K11" i="1"/>
  <c r="K26" i="1"/>
  <c r="F26" i="1"/>
  <c r="F11" i="1"/>
  <c r="K4" i="1"/>
  <c r="K5" i="1"/>
  <c r="K8" i="1"/>
  <c r="K15" i="1"/>
  <c r="K16" i="1"/>
  <c r="K18" i="1"/>
  <c r="F4" i="1"/>
  <c r="F5" i="1"/>
  <c r="F8" i="1"/>
  <c r="F15" i="1"/>
  <c r="F16" i="1"/>
  <c r="F18" i="1"/>
  <c r="J6" i="1"/>
  <c r="I6" i="1"/>
  <c r="I9" i="1" s="1"/>
  <c r="H6" i="1"/>
  <c r="H9" i="1" s="1"/>
  <c r="G6" i="1"/>
  <c r="C6" i="1"/>
  <c r="C9" i="1" s="1"/>
  <c r="D6" i="1"/>
  <c r="D7" i="1" s="1"/>
  <c r="E6" i="1"/>
  <c r="E9" i="1" s="1"/>
  <c r="B6" i="1"/>
  <c r="B9" i="1" s="1"/>
  <c r="B27" i="1"/>
  <c r="C27" i="1"/>
  <c r="D27" i="1"/>
  <c r="K42" i="1"/>
  <c r="F42" i="1"/>
  <c r="K41" i="1"/>
  <c r="F41" i="1"/>
  <c r="K40" i="1"/>
  <c r="F40" i="1"/>
  <c r="K39" i="1"/>
  <c r="F39" i="1"/>
  <c r="K36" i="1"/>
  <c r="F36" i="1"/>
  <c r="H27" i="1"/>
  <c r="I27" i="1"/>
  <c r="G27" i="1"/>
  <c r="J27" i="1"/>
  <c r="E27" i="1"/>
  <c r="T7" i="1"/>
  <c r="U7" i="4"/>
  <c r="U8" i="4" s="1"/>
  <c r="AC52" i="1" l="1"/>
  <c r="B13" i="1"/>
  <c r="AN64" i="1"/>
  <c r="AK64" i="1"/>
  <c r="L7" i="1"/>
  <c r="O7" i="1"/>
  <c r="AB52" i="1"/>
  <c r="R61" i="4"/>
  <c r="S61" i="4"/>
  <c r="M13" i="1"/>
  <c r="M28" i="1" s="1"/>
  <c r="T64" i="1"/>
  <c r="E13" i="1"/>
  <c r="E28" i="1" s="1"/>
  <c r="K61" i="4"/>
  <c r="F6" i="1"/>
  <c r="F9" i="1" s="1"/>
  <c r="P19" i="4"/>
  <c r="Z19" i="4"/>
  <c r="J61" i="4"/>
  <c r="AJ52" i="1"/>
  <c r="I7" i="1"/>
  <c r="D9" i="1"/>
  <c r="D13" i="1" s="1"/>
  <c r="H13" i="1"/>
  <c r="H28" i="1" s="1"/>
  <c r="T8" i="4"/>
  <c r="F60" i="4"/>
  <c r="W49" i="4"/>
  <c r="Y14" i="4"/>
  <c r="Y18" i="4" s="1"/>
  <c r="Y20" i="4" s="1"/>
  <c r="Y22" i="4" s="1"/>
  <c r="W8" i="4"/>
  <c r="E7" i="4"/>
  <c r="E8" i="4" s="1"/>
  <c r="H10" i="4"/>
  <c r="H14" i="4" s="1"/>
  <c r="H15" i="4" s="1"/>
  <c r="O61" i="4"/>
  <c r="AC61" i="4"/>
  <c r="AD49" i="4"/>
  <c r="AE49" i="4"/>
  <c r="K27" i="1"/>
  <c r="AF52" i="1"/>
  <c r="S7" i="1"/>
  <c r="AE52" i="1"/>
  <c r="F64" i="1"/>
  <c r="P27" i="1"/>
  <c r="L13" i="1"/>
  <c r="L17" i="1" s="1"/>
  <c r="L19" i="1" s="1"/>
  <c r="U6" i="1"/>
  <c r="U9" i="1" s="1"/>
  <c r="U13" i="1" s="1"/>
  <c r="U17" i="1" s="1"/>
  <c r="U19" i="1" s="1"/>
  <c r="B7" i="1"/>
  <c r="C7" i="1"/>
  <c r="K6" i="1"/>
  <c r="K9" i="1" s="1"/>
  <c r="Y52" i="1"/>
  <c r="Y64" i="1"/>
  <c r="AE64" i="1"/>
  <c r="AH52" i="1"/>
  <c r="C13" i="1"/>
  <c r="C17" i="1" s="1"/>
  <c r="C19" i="1" s="1"/>
  <c r="P6" i="1"/>
  <c r="P7" i="1" s="1"/>
  <c r="W64" i="1"/>
  <c r="G10" i="4"/>
  <c r="G14" i="4" s="1"/>
  <c r="G15" i="4" s="1"/>
  <c r="N8" i="4"/>
  <c r="G8" i="4"/>
  <c r="C10" i="4"/>
  <c r="C14" i="4" s="1"/>
  <c r="C15" i="4" s="1"/>
  <c r="H8" i="4"/>
  <c r="L61" i="4"/>
  <c r="P61" i="4"/>
  <c r="Q61" i="4"/>
  <c r="Z49" i="4"/>
  <c r="Z61" i="4"/>
  <c r="AC49" i="4"/>
  <c r="AD61" i="4"/>
  <c r="AE61" i="4"/>
  <c r="K13" i="4"/>
  <c r="D10" i="4"/>
  <c r="D14" i="4" s="1"/>
  <c r="D18" i="4" s="1"/>
  <c r="D20" i="4" s="1"/>
  <c r="D22" i="4" s="1"/>
  <c r="F13" i="4"/>
  <c r="U26" i="4"/>
  <c r="U7" i="1"/>
  <c r="X7" i="1"/>
  <c r="F27" i="1"/>
  <c r="K49" i="1"/>
  <c r="K52" i="1" s="1"/>
  <c r="O64" i="1"/>
  <c r="U64" i="1"/>
  <c r="AC64" i="1"/>
  <c r="L64" i="1"/>
  <c r="M64" i="1"/>
  <c r="R7" i="1"/>
  <c r="Q64" i="1"/>
  <c r="V64" i="1"/>
  <c r="Z52" i="1"/>
  <c r="Z64" i="1"/>
  <c r="AI52" i="1"/>
  <c r="AL9" i="1"/>
  <c r="AL13" i="1" s="1"/>
  <c r="AL14" i="1" s="1"/>
  <c r="AL7" i="1"/>
  <c r="AN9" i="1"/>
  <c r="AN13" i="1" s="1"/>
  <c r="AN28" i="1" s="1"/>
  <c r="AJ7" i="4"/>
  <c r="AJ8" i="4" s="1"/>
  <c r="AK52" i="1"/>
  <c r="AO6" i="1"/>
  <c r="AO7" i="1" s="1"/>
  <c r="AK7" i="1"/>
  <c r="AJ26" i="4"/>
  <c r="AI27" i="4"/>
  <c r="AI22" i="4"/>
  <c r="AF22" i="4"/>
  <c r="AF27" i="4"/>
  <c r="AH27" i="4"/>
  <c r="AH22" i="4"/>
  <c r="AM64" i="1"/>
  <c r="AL64" i="1"/>
  <c r="AM9" i="1"/>
  <c r="AM13" i="1" s="1"/>
  <c r="AK31" i="1"/>
  <c r="AK33" i="1" s="1"/>
  <c r="AK21" i="1"/>
  <c r="AK23" i="1" s="1"/>
  <c r="AK24" i="1" s="1"/>
  <c r="AK14" i="1"/>
  <c r="AK28" i="1"/>
  <c r="J9" i="1"/>
  <c r="J13" i="1" s="1"/>
  <c r="J17" i="1" s="1"/>
  <c r="J19" i="1" s="1"/>
  <c r="J7" i="1"/>
  <c r="K6" i="4"/>
  <c r="K7" i="4" s="1"/>
  <c r="K8" i="4" s="1"/>
  <c r="I7" i="4"/>
  <c r="Q9" i="1"/>
  <c r="Q13" i="1" s="1"/>
  <c r="Q14" i="1" s="1"/>
  <c r="Q7" i="1"/>
  <c r="I13" i="1"/>
  <c r="I14" i="1" s="1"/>
  <c r="F12" i="1"/>
  <c r="M10" i="4"/>
  <c r="M14" i="4" s="1"/>
  <c r="M27" i="4" s="1"/>
  <c r="M8" i="4"/>
  <c r="AG9" i="1"/>
  <c r="AG13" i="1" s="1"/>
  <c r="AG14" i="1" s="1"/>
  <c r="AG7" i="1"/>
  <c r="G9" i="1"/>
  <c r="G13" i="1" s="1"/>
  <c r="G14" i="1" s="1"/>
  <c r="G7" i="1"/>
  <c r="N13" i="1"/>
  <c r="N28" i="1" s="1"/>
  <c r="O10" i="4"/>
  <c r="O14" i="4" s="1"/>
  <c r="O18" i="4" s="1"/>
  <c r="O20" i="4" s="1"/>
  <c r="O22" i="4" s="1"/>
  <c r="O8" i="4"/>
  <c r="K58" i="1"/>
  <c r="K64" i="1" s="1"/>
  <c r="B10" i="4"/>
  <c r="B14" i="4" s="1"/>
  <c r="B18" i="4" s="1"/>
  <c r="B20" i="4" s="1"/>
  <c r="B22" i="4" s="1"/>
  <c r="F7" i="4"/>
  <c r="F8" i="4" s="1"/>
  <c r="P64" i="1"/>
  <c r="X61" i="4"/>
  <c r="AE26" i="4"/>
  <c r="AA61" i="4"/>
  <c r="AB49" i="4"/>
  <c r="AI7" i="1"/>
  <c r="O13" i="1"/>
  <c r="O17" i="1" s="1"/>
  <c r="O19" i="1" s="1"/>
  <c r="K9" i="4"/>
  <c r="K12" i="1"/>
  <c r="P12" i="1"/>
  <c r="U27" i="1"/>
  <c r="R64" i="1"/>
  <c r="L10" i="4"/>
  <c r="L14" i="4" s="1"/>
  <c r="L18" i="4" s="1"/>
  <c r="L20" i="4" s="1"/>
  <c r="L22" i="4" s="1"/>
  <c r="Z27" i="1"/>
  <c r="T61" i="4"/>
  <c r="AD52" i="1"/>
  <c r="Y49" i="4"/>
  <c r="Y61" i="4"/>
  <c r="AG52" i="1"/>
  <c r="F52" i="1"/>
  <c r="N64" i="1"/>
  <c r="I61" i="4"/>
  <c r="S64" i="1"/>
  <c r="N61" i="4"/>
  <c r="W61" i="4"/>
  <c r="X49" i="4"/>
  <c r="AA49" i="4"/>
  <c r="AB61" i="4"/>
  <c r="AH7" i="1"/>
  <c r="AJ64" i="1"/>
  <c r="AI64" i="1"/>
  <c r="AC22" i="4"/>
  <c r="AG64" i="1"/>
  <c r="J8" i="4"/>
  <c r="J10" i="4"/>
  <c r="J14" i="4" s="1"/>
  <c r="J18" i="4" s="1"/>
  <c r="J20" i="4" s="1"/>
  <c r="J22" i="4" s="1"/>
  <c r="F26" i="4"/>
  <c r="H61" i="4"/>
  <c r="P7" i="4"/>
  <c r="P10" i="4" s="1"/>
  <c r="P14" i="4" s="1"/>
  <c r="M61" i="4"/>
  <c r="V61" i="4"/>
  <c r="F55" i="4"/>
  <c r="F46" i="4"/>
  <c r="F49" i="4" s="1"/>
  <c r="F19" i="4"/>
  <c r="F9" i="4"/>
  <c r="K26" i="4"/>
  <c r="G61" i="4"/>
  <c r="K19" i="4"/>
  <c r="P26" i="4"/>
  <c r="R8" i="4"/>
  <c r="AA27" i="4"/>
  <c r="AC27" i="4"/>
  <c r="AB22" i="4"/>
  <c r="AB27" i="4"/>
  <c r="AF64" i="1"/>
  <c r="AH64" i="1"/>
  <c r="AJ6" i="1"/>
  <c r="AJ7" i="1" s="1"/>
  <c r="M17" i="1"/>
  <c r="M19" i="1" s="1"/>
  <c r="R28" i="1"/>
  <c r="R14" i="1"/>
  <c r="R17" i="1"/>
  <c r="R19" i="1" s="1"/>
  <c r="T28" i="1"/>
  <c r="T14" i="1"/>
  <c r="T17" i="1"/>
  <c r="T19" i="1" s="1"/>
  <c r="B17" i="1"/>
  <c r="B19" i="1" s="1"/>
  <c r="B28" i="1"/>
  <c r="B14" i="1"/>
  <c r="L14" i="1"/>
  <c r="S28" i="1"/>
  <c r="S14" i="1"/>
  <c r="S17" i="1"/>
  <c r="S19" i="1" s="1"/>
  <c r="V17" i="1"/>
  <c r="V19" i="1" s="1"/>
  <c r="V14" i="1"/>
  <c r="V28" i="1"/>
  <c r="V7" i="1"/>
  <c r="H7" i="1"/>
  <c r="E7" i="1"/>
  <c r="M7" i="1"/>
  <c r="N7" i="1"/>
  <c r="Z6" i="1"/>
  <c r="Z9" i="1" s="1"/>
  <c r="Z13" i="1" s="1"/>
  <c r="AF28" i="1"/>
  <c r="AF14" i="1"/>
  <c r="AF17" i="1"/>
  <c r="AF19" i="1" s="1"/>
  <c r="AH28" i="1"/>
  <c r="AH17" i="1"/>
  <c r="AH19" i="1" s="1"/>
  <c r="AH31" i="1" s="1"/>
  <c r="AH33" i="1" s="1"/>
  <c r="AI17" i="1"/>
  <c r="AI19" i="1" s="1"/>
  <c r="AI31" i="1" s="1"/>
  <c r="AI33" i="1" s="1"/>
  <c r="AI28" i="1"/>
  <c r="AF7" i="1"/>
  <c r="Z6" i="4"/>
  <c r="Z7" i="4" s="1"/>
  <c r="Z8" i="4" s="1"/>
  <c r="Y8" i="4"/>
  <c r="X10" i="4"/>
  <c r="X14" i="4" s="1"/>
  <c r="X27" i="4" s="1"/>
  <c r="W18" i="4"/>
  <c r="W20" i="4" s="1"/>
  <c r="W22" i="4" s="1"/>
  <c r="W30" i="4" s="1"/>
  <c r="W15" i="4"/>
  <c r="AE6" i="1"/>
  <c r="AE9" i="1" s="1"/>
  <c r="AE13" i="1" s="1"/>
  <c r="D27" i="4"/>
  <c r="N15" i="4"/>
  <c r="N27" i="4"/>
  <c r="N18" i="4"/>
  <c r="N20" i="4" s="1"/>
  <c r="N22" i="4" s="1"/>
  <c r="L8" i="4"/>
  <c r="Q10" i="4"/>
  <c r="Q14" i="4" s="1"/>
  <c r="Q27" i="4" s="1"/>
  <c r="V15" i="4"/>
  <c r="V18" i="4"/>
  <c r="V20" i="4" s="1"/>
  <c r="V22" i="4" s="1"/>
  <c r="V8" i="4"/>
  <c r="Z26" i="4"/>
  <c r="V27" i="4"/>
  <c r="W27" i="4"/>
  <c r="AA64" i="1"/>
  <c r="AB64" i="1"/>
  <c r="AD64" i="1"/>
  <c r="AE27" i="1"/>
  <c r="AB14" i="1"/>
  <c r="AB28" i="1"/>
  <c r="AB17" i="1"/>
  <c r="AB19" i="1" s="1"/>
  <c r="AD14" i="1"/>
  <c r="AD28" i="1"/>
  <c r="AD17" i="1"/>
  <c r="AD19" i="1" s="1"/>
  <c r="AA28" i="1"/>
  <c r="AA17" i="1"/>
  <c r="AA19" i="1" s="1"/>
  <c r="AA14" i="1"/>
  <c r="AC28" i="1"/>
  <c r="AC17" i="1"/>
  <c r="AC19" i="1" s="1"/>
  <c r="AC14" i="1"/>
  <c r="AA7" i="1"/>
  <c r="AC7" i="1"/>
  <c r="AB7" i="1"/>
  <c r="AD7" i="1"/>
  <c r="Y9" i="1"/>
  <c r="Y13" i="1" s="1"/>
  <c r="U10" i="4"/>
  <c r="U14" i="4" s="1"/>
  <c r="T27" i="4"/>
  <c r="T18" i="4"/>
  <c r="T20" i="4" s="1"/>
  <c r="T22" i="4" s="1"/>
  <c r="T15" i="4"/>
  <c r="S10" i="4"/>
  <c r="S14" i="4" s="1"/>
  <c r="X64" i="1"/>
  <c r="X17" i="1"/>
  <c r="X19" i="1" s="1"/>
  <c r="X14" i="1"/>
  <c r="X28" i="1"/>
  <c r="R27" i="4"/>
  <c r="R20" i="4"/>
  <c r="R22" i="4" s="1"/>
  <c r="R15" i="4"/>
  <c r="W28" i="1"/>
  <c r="W14" i="1"/>
  <c r="W17" i="1"/>
  <c r="W19" i="1" s="1"/>
  <c r="W7" i="1"/>
  <c r="U61" i="4"/>
  <c r="F10" i="4" l="1"/>
  <c r="F61" i="4"/>
  <c r="G27" i="4"/>
  <c r="G18" i="4"/>
  <c r="G20" i="4" s="1"/>
  <c r="G22" i="4" s="1"/>
  <c r="P9" i="1"/>
  <c r="K7" i="1"/>
  <c r="U27" i="4"/>
  <c r="E17" i="1"/>
  <c r="E19" i="1" s="1"/>
  <c r="E31" i="1" s="1"/>
  <c r="E33" i="1" s="1"/>
  <c r="L28" i="1"/>
  <c r="E14" i="1"/>
  <c r="J15" i="4"/>
  <c r="J28" i="1"/>
  <c r="H14" i="1"/>
  <c r="Y27" i="4"/>
  <c r="H17" i="1"/>
  <c r="H19" i="1" s="1"/>
  <c r="H21" i="1" s="1"/>
  <c r="H23" i="1" s="1"/>
  <c r="H24" i="1" s="1"/>
  <c r="Y15" i="4"/>
  <c r="M14" i="1"/>
  <c r="F7" i="1"/>
  <c r="H18" i="4"/>
  <c r="H20" i="4" s="1"/>
  <c r="H22" i="4" s="1"/>
  <c r="H23" i="4" s="1"/>
  <c r="L15" i="4"/>
  <c r="D17" i="1"/>
  <c r="D19" i="1" s="1"/>
  <c r="D31" i="1" s="1"/>
  <c r="D33" i="1" s="1"/>
  <c r="D14" i="1"/>
  <c r="C14" i="1"/>
  <c r="I17" i="1"/>
  <c r="I19" i="1" s="1"/>
  <c r="I21" i="1" s="1"/>
  <c r="I23" i="1" s="1"/>
  <c r="I24" i="1" s="1"/>
  <c r="I28" i="1"/>
  <c r="C27" i="4"/>
  <c r="Q18" i="4"/>
  <c r="Q20" i="4" s="1"/>
  <c r="Q22" i="4" s="1"/>
  <c r="Q23" i="4" s="1"/>
  <c r="L27" i="4"/>
  <c r="F14" i="4"/>
  <c r="F27" i="4" s="1"/>
  <c r="O27" i="4"/>
  <c r="H27" i="4"/>
  <c r="J27" i="4"/>
  <c r="U15" i="4"/>
  <c r="O15" i="4"/>
  <c r="E10" i="4"/>
  <c r="E14" i="4" s="1"/>
  <c r="E18" i="4" s="1"/>
  <c r="E20" i="4" s="1"/>
  <c r="E22" i="4" s="1"/>
  <c r="E23" i="4" s="1"/>
  <c r="F13" i="1"/>
  <c r="F17" i="1" s="1"/>
  <c r="F19" i="1" s="1"/>
  <c r="C28" i="1"/>
  <c r="N14" i="1"/>
  <c r="D28" i="1"/>
  <c r="AL28" i="1"/>
  <c r="U14" i="1"/>
  <c r="U28" i="1"/>
  <c r="AE7" i="1"/>
  <c r="N17" i="1"/>
  <c r="N19" i="1" s="1"/>
  <c r="N31" i="1" s="1"/>
  <c r="N33" i="1" s="1"/>
  <c r="G28" i="1"/>
  <c r="AO9" i="1"/>
  <c r="AO13" i="1" s="1"/>
  <c r="AO14" i="1" s="1"/>
  <c r="Z7" i="1"/>
  <c r="G17" i="1"/>
  <c r="G31" i="1" s="1"/>
  <c r="G33" i="1" s="1"/>
  <c r="J14" i="1"/>
  <c r="AL17" i="1"/>
  <c r="AL19" i="1" s="1"/>
  <c r="AL31" i="1" s="1"/>
  <c r="AL33" i="1" s="1"/>
  <c r="B27" i="4"/>
  <c r="D15" i="4"/>
  <c r="M18" i="4"/>
  <c r="M20" i="4" s="1"/>
  <c r="M22" i="4" s="1"/>
  <c r="M30" i="4" s="1"/>
  <c r="B15" i="4"/>
  <c r="U18" i="4"/>
  <c r="U20" i="4" s="1"/>
  <c r="U22" i="4" s="1"/>
  <c r="U23" i="4" s="1"/>
  <c r="M15" i="4"/>
  <c r="AM17" i="1"/>
  <c r="AM19" i="1" s="1"/>
  <c r="AM31" i="1" s="1"/>
  <c r="AM33" i="1" s="1"/>
  <c r="AM14" i="1"/>
  <c r="K13" i="1"/>
  <c r="Z28" i="1"/>
  <c r="Q17" i="1"/>
  <c r="Q19" i="1" s="1"/>
  <c r="Q31" i="1" s="1"/>
  <c r="Q33" i="1" s="1"/>
  <c r="O28" i="1"/>
  <c r="AN17" i="1"/>
  <c r="AN19" i="1" s="1"/>
  <c r="AN31" i="1" s="1"/>
  <c r="AN33" i="1" s="1"/>
  <c r="AN14" i="1"/>
  <c r="P13" i="1"/>
  <c r="P28" i="1" s="1"/>
  <c r="AI30" i="4"/>
  <c r="AI23" i="4"/>
  <c r="AH23" i="4"/>
  <c r="AH30" i="4"/>
  <c r="AJ10" i="4"/>
  <c r="AJ14" i="4" s="1"/>
  <c r="AJ27" i="4" s="1"/>
  <c r="AG28" i="1"/>
  <c r="AG17" i="1"/>
  <c r="AG19" i="1" s="1"/>
  <c r="AG31" i="1" s="1"/>
  <c r="AG33" i="1" s="1"/>
  <c r="AJ9" i="1"/>
  <c r="AJ13" i="1" s="1"/>
  <c r="AJ17" i="1" s="1"/>
  <c r="AJ19" i="1" s="1"/>
  <c r="AG27" i="4"/>
  <c r="AG22" i="4"/>
  <c r="AF23" i="4"/>
  <c r="AF30" i="4"/>
  <c r="AM28" i="1"/>
  <c r="AC30" i="4"/>
  <c r="AC23" i="4"/>
  <c r="I10" i="4"/>
  <c r="I14" i="4" s="1"/>
  <c r="I8" i="4"/>
  <c r="C18" i="4"/>
  <c r="C20" i="4" s="1"/>
  <c r="C22" i="4" s="1"/>
  <c r="C23" i="4" s="1"/>
  <c r="P8" i="4"/>
  <c r="Q28" i="1"/>
  <c r="O14" i="1"/>
  <c r="K10" i="4"/>
  <c r="K14" i="4" s="1"/>
  <c r="AB30" i="4"/>
  <c r="AB23" i="4"/>
  <c r="AA22" i="4"/>
  <c r="AA30" i="4" s="1"/>
  <c r="AD22" i="4"/>
  <c r="AD27" i="4"/>
  <c r="V21" i="1"/>
  <c r="V23" i="1" s="1"/>
  <c r="V24" i="1" s="1"/>
  <c r="V31" i="1"/>
  <c r="V33" i="1" s="1"/>
  <c r="B31" i="1"/>
  <c r="B33" i="1" s="1"/>
  <c r="B21" i="1"/>
  <c r="B23" i="1" s="1"/>
  <c r="B24" i="1" s="1"/>
  <c r="R31" i="1"/>
  <c r="R33" i="1" s="1"/>
  <c r="R21" i="1"/>
  <c r="R23" i="1" s="1"/>
  <c r="R24" i="1" s="1"/>
  <c r="J31" i="1"/>
  <c r="J33" i="1" s="1"/>
  <c r="J21" i="1"/>
  <c r="J23" i="1" s="1"/>
  <c r="J24" i="1" s="1"/>
  <c r="C31" i="1"/>
  <c r="C33" i="1" s="1"/>
  <c r="C21" i="1"/>
  <c r="C23" i="1" s="1"/>
  <c r="C24" i="1" s="1"/>
  <c r="S31" i="1"/>
  <c r="S33" i="1" s="1"/>
  <c r="S21" i="1"/>
  <c r="S23" i="1" s="1"/>
  <c r="S24" i="1" s="1"/>
  <c r="O31" i="1"/>
  <c r="O33" i="1" s="1"/>
  <c r="O21" i="1"/>
  <c r="O23" i="1" s="1"/>
  <c r="O24" i="1" s="1"/>
  <c r="L31" i="1"/>
  <c r="L33" i="1" s="1"/>
  <c r="L21" i="1"/>
  <c r="L23" i="1" s="1"/>
  <c r="L24" i="1" s="1"/>
  <c r="T31" i="1"/>
  <c r="T33" i="1" s="1"/>
  <c r="T21" i="1"/>
  <c r="T23" i="1" s="1"/>
  <c r="T24" i="1" s="1"/>
  <c r="M31" i="1"/>
  <c r="M33" i="1" s="1"/>
  <c r="M21" i="1"/>
  <c r="M23" i="1" s="1"/>
  <c r="M24" i="1" s="1"/>
  <c r="U21" i="1"/>
  <c r="U23" i="1" s="1"/>
  <c r="U31" i="1"/>
  <c r="AF31" i="1"/>
  <c r="AF33" i="1" s="1"/>
  <c r="AF21" i="1"/>
  <c r="AF23" i="1" s="1"/>
  <c r="AF24" i="1" s="1"/>
  <c r="AI21" i="1"/>
  <c r="AI23" i="1" s="1"/>
  <c r="AI24" i="1" s="1"/>
  <c r="AH21" i="1"/>
  <c r="AH23" i="1" s="1"/>
  <c r="AH24" i="1" s="1"/>
  <c r="X18" i="4"/>
  <c r="X20" i="4" s="1"/>
  <c r="X22" i="4" s="1"/>
  <c r="X30" i="4" s="1"/>
  <c r="X15" i="4"/>
  <c r="Z10" i="4"/>
  <c r="Z14" i="4" s="1"/>
  <c r="Z18" i="4" s="1"/>
  <c r="Z20" i="4" s="1"/>
  <c r="Z22" i="4" s="1"/>
  <c r="G23" i="4"/>
  <c r="G30" i="4"/>
  <c r="L30" i="4"/>
  <c r="L23" i="4"/>
  <c r="D30" i="4"/>
  <c r="D23" i="4"/>
  <c r="Q15" i="4"/>
  <c r="O23" i="4"/>
  <c r="O30" i="4"/>
  <c r="N23" i="4"/>
  <c r="N30" i="4"/>
  <c r="P18" i="4"/>
  <c r="P20" i="4" s="1"/>
  <c r="P22" i="4" s="1"/>
  <c r="P27" i="4"/>
  <c r="P15" i="4"/>
  <c r="B30" i="4"/>
  <c r="B23" i="4"/>
  <c r="J23" i="4"/>
  <c r="J30" i="4"/>
  <c r="Y30" i="4"/>
  <c r="Y23" i="4"/>
  <c r="W23" i="4"/>
  <c r="V30" i="4"/>
  <c r="V23" i="4"/>
  <c r="AD31" i="1"/>
  <c r="AD33" i="1" s="1"/>
  <c r="AD21" i="1"/>
  <c r="AD23" i="1" s="1"/>
  <c r="AD24" i="1" s="1"/>
  <c r="AC21" i="1"/>
  <c r="AC23" i="1" s="1"/>
  <c r="AC24" i="1" s="1"/>
  <c r="AC31" i="1"/>
  <c r="AC33" i="1" s="1"/>
  <c r="AE28" i="1"/>
  <c r="AE17" i="1"/>
  <c r="AE19" i="1" s="1"/>
  <c r="AE14" i="1"/>
  <c r="AB31" i="1"/>
  <c r="AB33" i="1" s="1"/>
  <c r="AB21" i="1"/>
  <c r="AB23" i="1" s="1"/>
  <c r="AB24" i="1" s="1"/>
  <c r="AA21" i="1"/>
  <c r="AA23" i="1" s="1"/>
  <c r="AA24" i="1" s="1"/>
  <c r="AA31" i="1"/>
  <c r="AA33" i="1" s="1"/>
  <c r="Z17" i="1"/>
  <c r="Z19" i="1" s="1"/>
  <c r="Z21" i="1" s="1"/>
  <c r="Z23" i="1" s="1"/>
  <c r="Z14" i="1"/>
  <c r="Y17" i="1"/>
  <c r="Y19" i="1" s="1"/>
  <c r="Y14" i="1"/>
  <c r="Y28" i="1"/>
  <c r="T23" i="4"/>
  <c r="T30" i="4"/>
  <c r="S18" i="4"/>
  <c r="S20" i="4" s="1"/>
  <c r="S22" i="4" s="1"/>
  <c r="S15" i="4"/>
  <c r="S27" i="4"/>
  <c r="X21" i="1"/>
  <c r="X23" i="1" s="1"/>
  <c r="X24" i="1" s="1"/>
  <c r="X31" i="1"/>
  <c r="X33" i="1" s="1"/>
  <c r="R30" i="4"/>
  <c r="R23" i="4"/>
  <c r="W31" i="1"/>
  <c r="W33" i="1" s="1"/>
  <c r="W21" i="1"/>
  <c r="W23" i="1" s="1"/>
  <c r="W24" i="1" s="1"/>
  <c r="E21" i="1" l="1"/>
  <c r="E23" i="1" s="1"/>
  <c r="E24" i="1" s="1"/>
  <c r="H30" i="4"/>
  <c r="H31" i="1"/>
  <c r="H33" i="1" s="1"/>
  <c r="U30" i="4"/>
  <c r="Q30" i="4"/>
  <c r="E30" i="4"/>
  <c r="Z15" i="4"/>
  <c r="F28" i="1"/>
  <c r="I31" i="1"/>
  <c r="I33" i="1" s="1"/>
  <c r="F14" i="1"/>
  <c r="P14" i="1"/>
  <c r="Z27" i="4"/>
  <c r="AJ28" i="1"/>
  <c r="D21" i="1"/>
  <c r="D23" i="1" s="1"/>
  <c r="D24" i="1" s="1"/>
  <c r="Q21" i="1"/>
  <c r="Q23" i="1" s="1"/>
  <c r="Q24" i="1" s="1"/>
  <c r="AJ18" i="4"/>
  <c r="AJ20" i="4" s="1"/>
  <c r="AJ22" i="4" s="1"/>
  <c r="AJ23" i="4" s="1"/>
  <c r="F15" i="4"/>
  <c r="M23" i="4"/>
  <c r="F18" i="4"/>
  <c r="F20" i="4" s="1"/>
  <c r="F22" i="4" s="1"/>
  <c r="F23" i="4" s="1"/>
  <c r="X23" i="4"/>
  <c r="E15" i="4"/>
  <c r="E27" i="4"/>
  <c r="P17" i="1"/>
  <c r="P19" i="1" s="1"/>
  <c r="P31" i="1" s="1"/>
  <c r="AO28" i="1"/>
  <c r="AO17" i="1"/>
  <c r="AO19" i="1" s="1"/>
  <c r="AO31" i="1" s="1"/>
  <c r="AM21" i="1"/>
  <c r="AM23" i="1" s="1"/>
  <c r="AM24" i="1" s="1"/>
  <c r="AL21" i="1"/>
  <c r="AL23" i="1" s="1"/>
  <c r="AL24" i="1" s="1"/>
  <c r="AJ14" i="1"/>
  <c r="G21" i="1"/>
  <c r="G23" i="1" s="1"/>
  <c r="G24" i="1" s="1"/>
  <c r="N21" i="1"/>
  <c r="N23" i="1" s="1"/>
  <c r="N24" i="1" s="1"/>
  <c r="AN21" i="1"/>
  <c r="AN23" i="1" s="1"/>
  <c r="AN24" i="1" s="1"/>
  <c r="C30" i="4"/>
  <c r="K28" i="1"/>
  <c r="K14" i="1"/>
  <c r="Z31" i="1"/>
  <c r="K17" i="1"/>
  <c r="K19" i="1" s="1"/>
  <c r="AG30" i="4"/>
  <c r="AG23" i="4"/>
  <c r="AJ15" i="4"/>
  <c r="AA23" i="4"/>
  <c r="AG21" i="1"/>
  <c r="AG23" i="1" s="1"/>
  <c r="AG24" i="1" s="1"/>
  <c r="AD30" i="4"/>
  <c r="AD23" i="4"/>
  <c r="K27" i="4"/>
  <c r="K15" i="4"/>
  <c r="K18" i="4"/>
  <c r="K20" i="4" s="1"/>
  <c r="K22" i="4" s="1"/>
  <c r="I18" i="4"/>
  <c r="I20" i="4" s="1"/>
  <c r="I22" i="4" s="1"/>
  <c r="I27" i="4"/>
  <c r="I15" i="4"/>
  <c r="AE27" i="4"/>
  <c r="AE22" i="4"/>
  <c r="U33" i="1"/>
  <c r="U24" i="1"/>
  <c r="F31" i="1"/>
  <c r="F33" i="1" s="1"/>
  <c r="F21" i="1"/>
  <c r="F23" i="1" s="1"/>
  <c r="F24" i="1" s="1"/>
  <c r="AJ31" i="1"/>
  <c r="AJ21" i="1"/>
  <c r="AJ23" i="1" s="1"/>
  <c r="P23" i="4"/>
  <c r="P30" i="4"/>
  <c r="Z30" i="4"/>
  <c r="Z23" i="4"/>
  <c r="AE21" i="1"/>
  <c r="AE23" i="1" s="1"/>
  <c r="AE31" i="1"/>
  <c r="Y31" i="1"/>
  <c r="Y33" i="1" s="1"/>
  <c r="Y21" i="1"/>
  <c r="Y23" i="1" s="1"/>
  <c r="Y24" i="1" s="1"/>
  <c r="S30" i="4"/>
  <c r="S23" i="4"/>
  <c r="Z33" i="1"/>
  <c r="Z24" i="1"/>
  <c r="AJ30" i="4" l="1"/>
  <c r="P21" i="1"/>
  <c r="P23" i="1" s="1"/>
  <c r="P33" i="1" s="1"/>
  <c r="F30" i="4"/>
  <c r="AO21" i="1"/>
  <c r="AO23" i="1" s="1"/>
  <c r="AO33" i="1" s="1"/>
  <c r="K21" i="1"/>
  <c r="K23" i="1" s="1"/>
  <c r="K24" i="1" s="1"/>
  <c r="K31" i="1"/>
  <c r="K33" i="1" s="1"/>
  <c r="I30" i="4"/>
  <c r="I23" i="4"/>
  <c r="K30" i="4"/>
  <c r="K23" i="4"/>
  <c r="AE23" i="4"/>
  <c r="AE30" i="4"/>
  <c r="AJ24" i="1"/>
  <c r="AJ33" i="1"/>
  <c r="AE33" i="1"/>
  <c r="AE24" i="1"/>
  <c r="P24" i="1" l="1"/>
  <c r="AO24" i="1"/>
</calcChain>
</file>

<file path=xl/sharedStrings.xml><?xml version="1.0" encoding="utf-8"?>
<sst xmlns="http://schemas.openxmlformats.org/spreadsheetml/2006/main" count="289" uniqueCount="197">
  <si>
    <t>Quarterly Financial Data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</si>
  <si>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</si>
  <si>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</si>
  <si>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</si>
  <si>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</si>
  <si>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</si>
  <si>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</si>
  <si>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</si>
  <si>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</si>
  <si>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</si>
  <si>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</si>
  <si>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</si>
  <si>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</si>
  <si>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</si>
  <si>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</si>
  <si>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</si>
  <si>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</si>
  <si>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</si>
  <si>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</si>
  <si>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</si>
  <si>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</si>
  <si>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</si>
  <si>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</si>
  <si>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</si>
  <si>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</si>
  <si>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r>
      <t>1Q12</t>
    </r>
    <r>
      <rPr>
        <b/>
        <u/>
        <vertAlign val="superscript"/>
        <sz val="9"/>
        <rFont val="Calibri"/>
        <family val="2"/>
      </rPr>
      <t>1</t>
    </r>
  </si>
  <si>
    <r>
      <t>2Q12</t>
    </r>
    <r>
      <rPr>
        <b/>
        <u/>
        <vertAlign val="superscript"/>
        <sz val="9"/>
        <rFont val="Calibri"/>
        <family val="2"/>
      </rPr>
      <t>1</t>
    </r>
  </si>
  <si>
    <r>
      <t>3Q12</t>
    </r>
    <r>
      <rPr>
        <b/>
        <u/>
        <vertAlign val="superscript"/>
        <sz val="9"/>
        <rFont val="Arial"/>
        <family val="2"/>
      </rPr>
      <t>1</t>
    </r>
  </si>
  <si>
    <r>
      <t>4Q12</t>
    </r>
    <r>
      <rPr>
        <b/>
        <u/>
        <vertAlign val="superscript"/>
        <sz val="9"/>
        <rFont val="Calibri"/>
        <family val="2"/>
      </rPr>
      <t>1</t>
    </r>
  </si>
  <si>
    <r>
      <t>2012</t>
    </r>
    <r>
      <rPr>
        <b/>
        <u/>
        <vertAlign val="superscript"/>
        <sz val="9"/>
        <rFont val="Arial"/>
        <family val="2"/>
      </rPr>
      <t>1</t>
    </r>
  </si>
  <si>
    <r>
      <t>1Q13</t>
    </r>
    <r>
      <rPr>
        <b/>
        <u/>
        <vertAlign val="superscript"/>
        <sz val="9"/>
        <rFont val="Calibri"/>
        <family val="2"/>
      </rPr>
      <t>1</t>
    </r>
  </si>
  <si>
    <r>
      <t>2Q13</t>
    </r>
    <r>
      <rPr>
        <b/>
        <u/>
        <vertAlign val="superscript"/>
        <sz val="9"/>
        <rFont val="Calibri"/>
        <family val="2"/>
      </rPr>
      <t>1</t>
    </r>
  </si>
  <si>
    <r>
      <t>3Q13</t>
    </r>
    <r>
      <rPr>
        <b/>
        <u/>
        <vertAlign val="superscript"/>
        <sz val="9"/>
        <rFont val="Calibri"/>
        <family val="2"/>
      </rPr>
      <t>1</t>
    </r>
  </si>
  <si>
    <r>
      <t>4Q13</t>
    </r>
    <r>
      <rPr>
        <b/>
        <u/>
        <vertAlign val="superscript"/>
        <sz val="9"/>
        <rFont val="Calibri"/>
        <family val="2"/>
      </rPr>
      <t>1</t>
    </r>
  </si>
  <si>
    <r>
      <t>2013</t>
    </r>
    <r>
      <rPr>
        <b/>
        <u/>
        <vertAlign val="superscript"/>
        <sz val="9"/>
        <rFont val="Arial"/>
        <family val="2"/>
      </rPr>
      <t>1</t>
    </r>
  </si>
  <si>
    <r>
      <t>1Q14</t>
    </r>
    <r>
      <rPr>
        <b/>
        <u/>
        <vertAlign val="superscript"/>
        <sz val="9"/>
        <rFont val="Calibri"/>
        <family val="2"/>
      </rPr>
      <t>1</t>
    </r>
  </si>
  <si>
    <r>
      <t>2Q14</t>
    </r>
    <r>
      <rPr>
        <b/>
        <u/>
        <vertAlign val="superscript"/>
        <sz val="9"/>
        <rFont val="Calibri"/>
        <family val="2"/>
      </rPr>
      <t>1</t>
    </r>
  </si>
  <si>
    <r>
      <t>3Q14</t>
    </r>
    <r>
      <rPr>
        <b/>
        <u/>
        <vertAlign val="superscript"/>
        <sz val="9"/>
        <rFont val="Calibri"/>
        <family val="2"/>
      </rPr>
      <t>1</t>
    </r>
  </si>
  <si>
    <r>
      <t>4Q14</t>
    </r>
    <r>
      <rPr>
        <b/>
        <u/>
        <vertAlign val="superscript"/>
        <sz val="9"/>
        <rFont val="Calibri"/>
        <family val="2"/>
      </rPr>
      <t>1</t>
    </r>
  </si>
  <si>
    <r>
      <t>2014</t>
    </r>
    <r>
      <rPr>
        <b/>
        <u/>
        <vertAlign val="superscript"/>
        <sz val="9"/>
        <rFont val="Calibri"/>
        <family val="2"/>
      </rPr>
      <t>1</t>
    </r>
  </si>
  <si>
    <r>
      <t xml:space="preserve">1Q15 </t>
    </r>
    <r>
      <rPr>
        <b/>
        <u/>
        <vertAlign val="superscript"/>
        <sz val="9"/>
        <rFont val="Arial"/>
        <family val="2"/>
      </rPr>
      <t>2</t>
    </r>
  </si>
  <si>
    <r>
      <t xml:space="preserve">2Q15 </t>
    </r>
    <r>
      <rPr>
        <b/>
        <u/>
        <vertAlign val="superscript"/>
        <sz val="9"/>
        <rFont val="Arial"/>
        <family val="2"/>
      </rPr>
      <t>2</t>
    </r>
  </si>
  <si>
    <r>
      <t xml:space="preserve">3Q15 </t>
    </r>
    <r>
      <rPr>
        <b/>
        <u/>
        <vertAlign val="superscript"/>
        <sz val="9"/>
        <rFont val="Arial"/>
        <family val="2"/>
      </rPr>
      <t>2</t>
    </r>
  </si>
  <si>
    <r>
      <t xml:space="preserve">4Q15 </t>
    </r>
    <r>
      <rPr>
        <b/>
        <u/>
        <vertAlign val="superscript"/>
        <sz val="9"/>
        <rFont val="Arial"/>
        <family val="2"/>
      </rPr>
      <t>2</t>
    </r>
  </si>
  <si>
    <r>
      <t xml:space="preserve">2015 </t>
    </r>
    <r>
      <rPr>
        <b/>
        <u/>
        <vertAlign val="superscript"/>
        <sz val="9"/>
        <rFont val="Arial"/>
        <family val="2"/>
      </rPr>
      <t>2</t>
    </r>
  </si>
  <si>
    <r>
      <t xml:space="preserve">1Q16 </t>
    </r>
    <r>
      <rPr>
        <b/>
        <u/>
        <vertAlign val="superscript"/>
        <sz val="9"/>
        <rFont val="Arial"/>
        <family val="2"/>
      </rPr>
      <t>2</t>
    </r>
  </si>
  <si>
    <r>
      <t xml:space="preserve">2Q16 </t>
    </r>
    <r>
      <rPr>
        <b/>
        <u/>
        <vertAlign val="superscript"/>
        <sz val="9"/>
        <rFont val="Arial"/>
        <family val="2"/>
      </rPr>
      <t>2</t>
    </r>
  </si>
  <si>
    <r>
      <t xml:space="preserve">3Q16 </t>
    </r>
    <r>
      <rPr>
        <b/>
        <u/>
        <vertAlign val="superscript"/>
        <sz val="9"/>
        <rFont val="Arial"/>
        <family val="2"/>
      </rPr>
      <t>2</t>
    </r>
  </si>
  <si>
    <r>
      <t xml:space="preserve">4Q16 </t>
    </r>
    <r>
      <rPr>
        <b/>
        <u/>
        <vertAlign val="superscript"/>
        <sz val="9"/>
        <rFont val="Arial"/>
        <family val="2"/>
      </rPr>
      <t>2</t>
    </r>
  </si>
  <si>
    <r>
      <t xml:space="preserve">2016 </t>
    </r>
    <r>
      <rPr>
        <b/>
        <u/>
        <vertAlign val="superscript"/>
        <sz val="9"/>
        <rFont val="Arial"/>
        <family val="2"/>
      </rPr>
      <t>2</t>
    </r>
  </si>
  <si>
    <r>
      <t xml:space="preserve">1Q17 </t>
    </r>
    <r>
      <rPr>
        <b/>
        <u/>
        <vertAlign val="superscript"/>
        <sz val="9"/>
        <rFont val="Arial"/>
        <family val="2"/>
      </rPr>
      <t>2</t>
    </r>
  </si>
  <si>
    <r>
      <t xml:space="preserve">2Q17 </t>
    </r>
    <r>
      <rPr>
        <b/>
        <u/>
        <vertAlign val="superscript"/>
        <sz val="9"/>
        <rFont val="Arial"/>
        <family val="2"/>
      </rPr>
      <t>2</t>
    </r>
  </si>
  <si>
    <r>
      <t xml:space="preserve">3Q17 </t>
    </r>
    <r>
      <rPr>
        <b/>
        <u/>
        <vertAlign val="superscript"/>
        <sz val="9"/>
        <rFont val="Arial"/>
        <family val="2"/>
      </rPr>
      <t>2</t>
    </r>
  </si>
  <si>
    <r>
      <t xml:space="preserve">4Q17 </t>
    </r>
    <r>
      <rPr>
        <b/>
        <u/>
        <vertAlign val="superscript"/>
        <sz val="9"/>
        <rFont val="Arial"/>
        <family val="2"/>
      </rPr>
      <t>2</t>
    </r>
  </si>
  <si>
    <r>
      <t xml:space="preserve">2017 </t>
    </r>
    <r>
      <rPr>
        <b/>
        <u/>
        <vertAlign val="superscript"/>
        <sz val="9"/>
        <rFont val="Arial"/>
        <family val="2"/>
      </rPr>
      <t>2</t>
    </r>
  </si>
  <si>
    <r>
      <t xml:space="preserve">1Q18 </t>
    </r>
    <r>
      <rPr>
        <b/>
        <u/>
        <vertAlign val="superscript"/>
        <sz val="9"/>
        <rFont val="Arial"/>
        <family val="2"/>
      </rPr>
      <t>2</t>
    </r>
  </si>
  <si>
    <r>
      <t xml:space="preserve">2Q18 </t>
    </r>
    <r>
      <rPr>
        <b/>
        <u/>
        <vertAlign val="superscript"/>
        <sz val="9"/>
        <rFont val="Arial"/>
        <family val="2"/>
      </rPr>
      <t>2</t>
    </r>
  </si>
  <si>
    <r>
      <t xml:space="preserve">3Q18 </t>
    </r>
    <r>
      <rPr>
        <b/>
        <u/>
        <vertAlign val="superscript"/>
        <sz val="9"/>
        <rFont val="Arial"/>
        <family val="2"/>
      </rPr>
      <t>2</t>
    </r>
  </si>
  <si>
    <r>
      <t xml:space="preserve">4Q18 </t>
    </r>
    <r>
      <rPr>
        <b/>
        <u/>
        <vertAlign val="superscript"/>
        <sz val="9"/>
        <rFont val="Arial"/>
        <family val="2"/>
      </rPr>
      <t>2</t>
    </r>
  </si>
  <si>
    <r>
      <t xml:space="preserve">2018 </t>
    </r>
    <r>
      <rPr>
        <b/>
        <u/>
        <vertAlign val="superscript"/>
        <sz val="9"/>
        <rFont val="Arial"/>
        <family val="2"/>
      </rPr>
      <t>2</t>
    </r>
  </si>
  <si>
    <r>
      <t xml:space="preserve">1Q19 </t>
    </r>
    <r>
      <rPr>
        <b/>
        <u/>
        <vertAlign val="superscript"/>
        <sz val="9"/>
        <rFont val="Arial"/>
        <family val="2"/>
      </rPr>
      <t>2</t>
    </r>
  </si>
  <si>
    <r>
      <t xml:space="preserve">2Q19 </t>
    </r>
    <r>
      <rPr>
        <b/>
        <u/>
        <vertAlign val="superscript"/>
        <sz val="9"/>
        <rFont val="Arial"/>
        <family val="2"/>
      </rPr>
      <t>2</t>
    </r>
  </si>
  <si>
    <r>
      <t xml:space="preserve">3Q19 </t>
    </r>
    <r>
      <rPr>
        <b/>
        <u/>
        <vertAlign val="superscript"/>
        <sz val="9"/>
        <rFont val="Arial"/>
        <family val="2"/>
      </rPr>
      <t>2</t>
    </r>
  </si>
  <si>
    <r>
      <t xml:space="preserve">4Q19 </t>
    </r>
    <r>
      <rPr>
        <b/>
        <u/>
        <vertAlign val="superscript"/>
        <sz val="9"/>
        <rFont val="Arial"/>
        <family val="2"/>
      </rPr>
      <t>2</t>
    </r>
  </si>
  <si>
    <r>
      <t xml:space="preserve">2019 </t>
    </r>
    <r>
      <rPr>
        <b/>
        <u/>
        <vertAlign val="superscript"/>
        <sz val="9"/>
        <rFont val="Arial"/>
        <family val="2"/>
      </rPr>
      <t>2</t>
    </r>
  </si>
  <si>
    <r>
      <t xml:space="preserve">1Q20 </t>
    </r>
    <r>
      <rPr>
        <b/>
        <u/>
        <vertAlign val="superscript"/>
        <sz val="9"/>
        <rFont val="Arial"/>
        <family val="2"/>
      </rPr>
      <t>2</t>
    </r>
  </si>
  <si>
    <r>
      <t xml:space="preserve">2Q20 </t>
    </r>
    <r>
      <rPr>
        <b/>
        <u/>
        <vertAlign val="superscript"/>
        <sz val="9"/>
        <rFont val="Arial"/>
        <family val="2"/>
      </rPr>
      <t>2</t>
    </r>
  </si>
  <si>
    <r>
      <t xml:space="preserve">3Q20 </t>
    </r>
    <r>
      <rPr>
        <b/>
        <u/>
        <vertAlign val="superscript"/>
        <sz val="9"/>
        <rFont val="Arial"/>
        <family val="2"/>
      </rPr>
      <t>2</t>
    </r>
  </si>
  <si>
    <r>
      <t xml:space="preserve">4Q20 </t>
    </r>
    <r>
      <rPr>
        <b/>
        <u/>
        <vertAlign val="superscript"/>
        <sz val="9"/>
        <rFont val="Arial"/>
        <family val="2"/>
      </rPr>
      <t>2</t>
    </r>
  </si>
  <si>
    <r>
      <t xml:space="preserve">2020 </t>
    </r>
    <r>
      <rPr>
        <b/>
        <u/>
        <vertAlign val="superscript"/>
        <sz val="9"/>
        <rFont val="Arial"/>
        <family val="2"/>
      </rPr>
      <t>2</t>
    </r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</si>
  <si>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</si>
  <si>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</si>
  <si>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</si>
  <si>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</si>
  <si>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</si>
  <si>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</si>
  <si>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</si>
  <si>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</si>
  <si>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</si>
  <si>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</si>
  <si>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</si>
  <si>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</si>
  <si>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</si>
  <si>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</si>
  <si>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</si>
  <si>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</si>
  <si>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Income</t>
  </si>
  <si>
    <t xml:space="preserve">  Net Trade Sales</t>
  </si>
  <si>
    <t xml:space="preserve">  COGS </t>
  </si>
  <si>
    <t>Gross Profit</t>
  </si>
  <si>
    <t xml:space="preserve">  %</t>
  </si>
  <si>
    <t xml:space="preserve">  SGA  </t>
  </si>
  <si>
    <t>Oper Income</t>
  </si>
  <si>
    <r>
      <t xml:space="preserve">  </t>
    </r>
    <r>
      <rPr>
        <sz val="9"/>
        <rFont val="Arial"/>
        <family val="2"/>
      </rPr>
      <t>Amortization</t>
    </r>
  </si>
  <si>
    <t xml:space="preserve">  Other</t>
  </si>
  <si>
    <t>EBIT</t>
  </si>
  <si>
    <t xml:space="preserve">  Interest Expense</t>
  </si>
  <si>
    <t xml:space="preserve">  Interest Income</t>
  </si>
  <si>
    <t>Earnings Before Taxes</t>
  </si>
  <si>
    <t xml:space="preserve">  Taxes</t>
  </si>
  <si>
    <t>Net Earnings - Continuing</t>
  </si>
  <si>
    <t xml:space="preserve">  Discontinued Operations, net of tax</t>
  </si>
  <si>
    <t>Net Earnings</t>
  </si>
  <si>
    <t xml:space="preserve">  Less: Non-controlling Interest</t>
  </si>
  <si>
    <t>Net Earnings Attributable to Leggett</t>
  </si>
  <si>
    <t>Depreciation</t>
  </si>
  <si>
    <t>Amortization</t>
  </si>
  <si>
    <t>EBITDA</t>
  </si>
  <si>
    <t>Earnings (Loss) Per Share</t>
  </si>
  <si>
    <t>From Continuing Operations</t>
  </si>
  <si>
    <t>From Discontinued Operations</t>
  </si>
  <si>
    <t>Net Earnings (Loss) Per Share</t>
  </si>
  <si>
    <t>Diluted Shares</t>
  </si>
  <si>
    <t>Dividends</t>
  </si>
  <si>
    <t>Cash Flow Info</t>
  </si>
  <si>
    <t>Cash from Operations</t>
  </si>
  <si>
    <t>Adds to PPE</t>
  </si>
  <si>
    <t>Acquisitions (net of cash)</t>
  </si>
  <si>
    <t>Dividends paid</t>
  </si>
  <si>
    <r>
      <t>Balance Sheet</t>
    </r>
    <r>
      <rPr>
        <b/>
        <sz val="9"/>
        <rFont val="Arial"/>
        <family val="2"/>
      </rPr>
      <t xml:space="preserve"> </t>
    </r>
  </si>
  <si>
    <t>Cash &amp; Equivalents</t>
  </si>
  <si>
    <t>Receivables</t>
  </si>
  <si>
    <t>Inventory</t>
  </si>
  <si>
    <t>Other Current</t>
  </si>
  <si>
    <t xml:space="preserve">  Current Assets</t>
  </si>
  <si>
    <t>Net Fixed Assets</t>
  </si>
  <si>
    <t>Goodwill &amp; Other</t>
  </si>
  <si>
    <t xml:space="preserve">  Total Assets</t>
  </si>
  <si>
    <t>Accounts Payable</t>
  </si>
  <si>
    <t>Current Portion LTD</t>
  </si>
  <si>
    <t>Current Operating Lease Liabilties</t>
  </si>
  <si>
    <t xml:space="preserve">  Current Liabilities</t>
  </si>
  <si>
    <t>LTD</t>
  </si>
  <si>
    <t>Operating Lease Liabilities</t>
  </si>
  <si>
    <t>Def Tax &amp; Other</t>
  </si>
  <si>
    <t>Shareholders' Equity</t>
  </si>
  <si>
    <t xml:space="preserve">  Capitalization</t>
  </si>
  <si>
    <t xml:space="preserve">  Total Liab. &amp; Equity</t>
  </si>
  <si>
    <r>
      <t xml:space="preserve">1  </t>
    </r>
    <r>
      <rPr>
        <b/>
        <sz val="11"/>
        <rFont val="Arial"/>
        <family val="2"/>
      </rPr>
      <t>Quarterly Income Statements for 2012 through 2014 reflect Store Fixtures as discontinued operations.</t>
    </r>
  </si>
  <si>
    <r>
      <t xml:space="preserve">2  </t>
    </r>
    <r>
      <rPr>
        <b/>
        <sz val="11"/>
        <rFont val="Arial"/>
        <family val="2"/>
      </rPr>
      <t>Effective 1Q21, the accounting methodology for valuing domestic steel-related inventory changed from LIFO to FIFO.</t>
    </r>
  </si>
  <si>
    <t>2015 - 2020 financial data has been adjusted to apply the effects of the change.</t>
  </si>
  <si>
    <r>
      <t xml:space="preserve">Adjusted Continuing Ops </t>
    </r>
    <r>
      <rPr>
        <b/>
        <sz val="12"/>
        <rFont val="Calibri"/>
        <family val="2"/>
      </rPr>
      <t>¹</t>
    </r>
  </si>
  <si>
    <r>
      <t>1Q12</t>
    </r>
    <r>
      <rPr>
        <b/>
        <u/>
        <sz val="9"/>
        <rFont val="Calibri"/>
        <family val="2"/>
      </rPr>
      <t>²</t>
    </r>
  </si>
  <si>
    <r>
      <t>2Q12</t>
    </r>
    <r>
      <rPr>
        <b/>
        <u/>
        <sz val="9"/>
        <rFont val="Calibri"/>
        <family val="2"/>
      </rPr>
      <t>²</t>
    </r>
  </si>
  <si>
    <r>
      <t>3Q12</t>
    </r>
    <r>
      <rPr>
        <b/>
        <u/>
        <sz val="9"/>
        <rFont val="Calibri"/>
        <family val="2"/>
      </rPr>
      <t>²</t>
    </r>
  </si>
  <si>
    <r>
      <t>4Q12</t>
    </r>
    <r>
      <rPr>
        <b/>
        <u/>
        <sz val="9"/>
        <rFont val="Calibri"/>
        <family val="2"/>
      </rPr>
      <t>²</t>
    </r>
  </si>
  <si>
    <r>
      <t>2012</t>
    </r>
    <r>
      <rPr>
        <b/>
        <u/>
        <sz val="9"/>
        <rFont val="Calibri"/>
        <family val="2"/>
      </rPr>
      <t>²</t>
    </r>
  </si>
  <si>
    <r>
      <t>1Q13</t>
    </r>
    <r>
      <rPr>
        <b/>
        <u/>
        <sz val="9"/>
        <rFont val="Calibri"/>
        <family val="2"/>
      </rPr>
      <t>²</t>
    </r>
  </si>
  <si>
    <r>
      <t>2Q13</t>
    </r>
    <r>
      <rPr>
        <b/>
        <u/>
        <sz val="9"/>
        <rFont val="Calibri"/>
        <family val="2"/>
      </rPr>
      <t>²</t>
    </r>
  </si>
  <si>
    <r>
      <t>3Q13</t>
    </r>
    <r>
      <rPr>
        <b/>
        <u/>
        <sz val="9"/>
        <rFont val="Calibri"/>
        <family val="2"/>
      </rPr>
      <t>²</t>
    </r>
  </si>
  <si>
    <r>
      <t>4Q13</t>
    </r>
    <r>
      <rPr>
        <b/>
        <u/>
        <sz val="9"/>
        <rFont val="Calibri"/>
        <family val="2"/>
      </rPr>
      <t>²</t>
    </r>
  </si>
  <si>
    <r>
      <t>2013</t>
    </r>
    <r>
      <rPr>
        <b/>
        <u/>
        <sz val="9"/>
        <rFont val="Calibri"/>
        <family val="2"/>
      </rPr>
      <t>²</t>
    </r>
  </si>
  <si>
    <r>
      <t>1Q14</t>
    </r>
    <r>
      <rPr>
        <b/>
        <u/>
        <sz val="9"/>
        <rFont val="Calibri"/>
        <family val="2"/>
      </rPr>
      <t>²</t>
    </r>
  </si>
  <si>
    <r>
      <t>2Q14</t>
    </r>
    <r>
      <rPr>
        <b/>
        <u/>
        <sz val="9"/>
        <rFont val="Calibri"/>
        <family val="2"/>
      </rPr>
      <t>²</t>
    </r>
  </si>
  <si>
    <r>
      <t>3Q14</t>
    </r>
    <r>
      <rPr>
        <b/>
        <u/>
        <sz val="9"/>
        <rFont val="Calibri"/>
        <family val="2"/>
      </rPr>
      <t>²</t>
    </r>
  </si>
  <si>
    <r>
      <t>4Q14</t>
    </r>
    <r>
      <rPr>
        <b/>
        <u/>
        <sz val="9"/>
        <rFont val="Calibri"/>
        <family val="2"/>
      </rPr>
      <t>²</t>
    </r>
  </si>
  <si>
    <r>
      <t>2014</t>
    </r>
    <r>
      <rPr>
        <b/>
        <u/>
        <sz val="9"/>
        <rFont val="Calibri"/>
        <family val="2"/>
      </rPr>
      <t>²</t>
    </r>
  </si>
  <si>
    <r>
      <t xml:space="preserve">1Q15 </t>
    </r>
    <r>
      <rPr>
        <b/>
        <u/>
        <vertAlign val="superscript"/>
        <sz val="9"/>
        <rFont val="Arial"/>
        <family val="2"/>
      </rPr>
      <t>3</t>
    </r>
  </si>
  <si>
    <r>
      <t xml:space="preserve">2Q15 </t>
    </r>
    <r>
      <rPr>
        <b/>
        <u/>
        <vertAlign val="superscript"/>
        <sz val="9"/>
        <rFont val="Arial"/>
        <family val="2"/>
      </rPr>
      <t>3</t>
    </r>
  </si>
  <si>
    <r>
      <t xml:space="preserve">3Q15 </t>
    </r>
    <r>
      <rPr>
        <b/>
        <u/>
        <vertAlign val="superscript"/>
        <sz val="9"/>
        <rFont val="Arial"/>
        <family val="2"/>
      </rPr>
      <t>3</t>
    </r>
  </si>
  <si>
    <r>
      <t xml:space="preserve">4Q15 </t>
    </r>
    <r>
      <rPr>
        <b/>
        <u/>
        <vertAlign val="superscript"/>
        <sz val="9"/>
        <rFont val="Arial"/>
        <family val="2"/>
      </rPr>
      <t>3</t>
    </r>
  </si>
  <si>
    <r>
      <t xml:space="preserve">2015 </t>
    </r>
    <r>
      <rPr>
        <b/>
        <u/>
        <vertAlign val="superscript"/>
        <sz val="9"/>
        <rFont val="Arial"/>
        <family val="2"/>
      </rPr>
      <t>3</t>
    </r>
  </si>
  <si>
    <r>
      <t xml:space="preserve">1Q16 </t>
    </r>
    <r>
      <rPr>
        <b/>
        <u/>
        <vertAlign val="superscript"/>
        <sz val="9"/>
        <rFont val="Arial"/>
        <family val="2"/>
      </rPr>
      <t>3</t>
    </r>
  </si>
  <si>
    <r>
      <t xml:space="preserve">2Q16 </t>
    </r>
    <r>
      <rPr>
        <b/>
        <u/>
        <vertAlign val="superscript"/>
        <sz val="9"/>
        <rFont val="Arial"/>
        <family val="2"/>
      </rPr>
      <t>3</t>
    </r>
  </si>
  <si>
    <r>
      <t xml:space="preserve">3Q16 </t>
    </r>
    <r>
      <rPr>
        <b/>
        <u/>
        <vertAlign val="superscript"/>
        <sz val="9"/>
        <rFont val="Arial"/>
        <family val="2"/>
      </rPr>
      <t>3</t>
    </r>
  </si>
  <si>
    <r>
      <t xml:space="preserve">4Q16 </t>
    </r>
    <r>
      <rPr>
        <b/>
        <u/>
        <vertAlign val="superscript"/>
        <sz val="9"/>
        <rFont val="Arial"/>
        <family val="2"/>
      </rPr>
      <t>3</t>
    </r>
  </si>
  <si>
    <r>
      <t xml:space="preserve">2016 </t>
    </r>
    <r>
      <rPr>
        <b/>
        <u/>
        <vertAlign val="superscript"/>
        <sz val="9"/>
        <rFont val="Arial"/>
        <family val="2"/>
      </rPr>
      <t>3</t>
    </r>
  </si>
  <si>
    <r>
      <t xml:space="preserve">1Q17 </t>
    </r>
    <r>
      <rPr>
        <b/>
        <u/>
        <vertAlign val="superscript"/>
        <sz val="9"/>
        <rFont val="Arial"/>
        <family val="2"/>
      </rPr>
      <t>3</t>
    </r>
  </si>
  <si>
    <r>
      <t xml:space="preserve">2Q17 </t>
    </r>
    <r>
      <rPr>
        <b/>
        <u/>
        <vertAlign val="superscript"/>
        <sz val="9"/>
        <rFont val="Arial"/>
        <family val="2"/>
      </rPr>
      <t>3</t>
    </r>
  </si>
  <si>
    <r>
      <t xml:space="preserve">3Q17 </t>
    </r>
    <r>
      <rPr>
        <b/>
        <u/>
        <vertAlign val="superscript"/>
        <sz val="9"/>
        <rFont val="Arial"/>
        <family val="2"/>
      </rPr>
      <t>3</t>
    </r>
  </si>
  <si>
    <r>
      <t xml:space="preserve">4Q17 </t>
    </r>
    <r>
      <rPr>
        <b/>
        <u/>
        <vertAlign val="superscript"/>
        <sz val="9"/>
        <rFont val="Arial"/>
        <family val="2"/>
      </rPr>
      <t>3</t>
    </r>
  </si>
  <si>
    <r>
      <t xml:space="preserve">2017 </t>
    </r>
    <r>
      <rPr>
        <b/>
        <u/>
        <vertAlign val="superscript"/>
        <sz val="9"/>
        <rFont val="Arial"/>
        <family val="2"/>
      </rPr>
      <t>3</t>
    </r>
  </si>
  <si>
    <r>
      <t xml:space="preserve">1Q18 </t>
    </r>
    <r>
      <rPr>
        <b/>
        <u/>
        <vertAlign val="superscript"/>
        <sz val="9"/>
        <rFont val="Arial"/>
        <family val="2"/>
      </rPr>
      <t>3</t>
    </r>
  </si>
  <si>
    <r>
      <t xml:space="preserve">2Q18 </t>
    </r>
    <r>
      <rPr>
        <b/>
        <u/>
        <vertAlign val="superscript"/>
        <sz val="9"/>
        <rFont val="Arial"/>
        <family val="2"/>
      </rPr>
      <t>3</t>
    </r>
  </si>
  <si>
    <r>
      <t xml:space="preserve">3Q18 </t>
    </r>
    <r>
      <rPr>
        <b/>
        <u/>
        <vertAlign val="superscript"/>
        <sz val="9"/>
        <rFont val="Arial"/>
        <family val="2"/>
      </rPr>
      <t>3</t>
    </r>
  </si>
  <si>
    <r>
      <t xml:space="preserve">4Q18 </t>
    </r>
    <r>
      <rPr>
        <b/>
        <u/>
        <vertAlign val="superscript"/>
        <sz val="9"/>
        <rFont val="Arial"/>
        <family val="2"/>
      </rPr>
      <t>3</t>
    </r>
  </si>
  <si>
    <r>
      <t xml:space="preserve">2018 </t>
    </r>
    <r>
      <rPr>
        <b/>
        <u/>
        <vertAlign val="superscript"/>
        <sz val="9"/>
        <rFont val="Arial"/>
        <family val="2"/>
      </rPr>
      <t>3</t>
    </r>
  </si>
  <si>
    <r>
      <t xml:space="preserve">1Q19 </t>
    </r>
    <r>
      <rPr>
        <b/>
        <u/>
        <vertAlign val="superscript"/>
        <sz val="9"/>
        <rFont val="Arial"/>
        <family val="2"/>
      </rPr>
      <t>3</t>
    </r>
  </si>
  <si>
    <r>
      <t xml:space="preserve">2Q19 </t>
    </r>
    <r>
      <rPr>
        <b/>
        <u/>
        <vertAlign val="superscript"/>
        <sz val="9"/>
        <rFont val="Arial"/>
        <family val="2"/>
      </rPr>
      <t>3</t>
    </r>
  </si>
  <si>
    <r>
      <t xml:space="preserve">3Q19 </t>
    </r>
    <r>
      <rPr>
        <b/>
        <u/>
        <vertAlign val="superscript"/>
        <sz val="9"/>
        <rFont val="Arial"/>
        <family val="2"/>
      </rPr>
      <t>3</t>
    </r>
  </si>
  <si>
    <r>
      <t xml:space="preserve">4Q19 </t>
    </r>
    <r>
      <rPr>
        <b/>
        <u/>
        <vertAlign val="superscript"/>
        <sz val="9"/>
        <rFont val="Arial"/>
        <family val="2"/>
      </rPr>
      <t>3</t>
    </r>
  </si>
  <si>
    <r>
      <t xml:space="preserve">2019 </t>
    </r>
    <r>
      <rPr>
        <b/>
        <u/>
        <vertAlign val="superscript"/>
        <sz val="9"/>
        <rFont val="Arial"/>
        <family val="2"/>
      </rPr>
      <t>3</t>
    </r>
  </si>
  <si>
    <r>
      <t xml:space="preserve">1Q20 </t>
    </r>
    <r>
      <rPr>
        <b/>
        <u/>
        <vertAlign val="superscript"/>
        <sz val="9"/>
        <rFont val="Arial"/>
        <family val="2"/>
      </rPr>
      <t>3</t>
    </r>
  </si>
  <si>
    <r>
      <t xml:space="preserve">2Q20 </t>
    </r>
    <r>
      <rPr>
        <b/>
        <u/>
        <vertAlign val="superscript"/>
        <sz val="9"/>
        <rFont val="Arial"/>
        <family val="2"/>
      </rPr>
      <t>3</t>
    </r>
  </si>
  <si>
    <r>
      <t xml:space="preserve">3Q20 </t>
    </r>
    <r>
      <rPr>
        <b/>
        <u/>
        <vertAlign val="superscript"/>
        <sz val="9"/>
        <rFont val="Arial"/>
        <family val="2"/>
      </rPr>
      <t>3</t>
    </r>
  </si>
  <si>
    <r>
      <t xml:space="preserve">4Q20 </t>
    </r>
    <r>
      <rPr>
        <b/>
        <u/>
        <vertAlign val="superscript"/>
        <sz val="9"/>
        <rFont val="Arial"/>
        <family val="2"/>
      </rPr>
      <t>3</t>
    </r>
  </si>
  <si>
    <r>
      <t xml:space="preserve">2020 </t>
    </r>
    <r>
      <rPr>
        <b/>
        <u/>
        <vertAlign val="superscript"/>
        <sz val="9"/>
        <rFont val="Arial"/>
        <family val="2"/>
      </rPr>
      <t>3</t>
    </r>
  </si>
  <si>
    <t>Net Earnings-Continuing</t>
  </si>
  <si>
    <t>Balance Sheet</t>
  </si>
  <si>
    <r>
      <rPr>
        <b/>
        <sz val="10"/>
        <rFont val="Calibri"/>
        <family val="2"/>
      </rPr>
      <t>¹</t>
    </r>
    <r>
      <rPr>
        <b/>
        <sz val="10"/>
        <rFont val="Arial"/>
        <family val="2"/>
      </rPr>
      <t xml:space="preserve">   Adjusted continuing operations exclude unusual items to better reflect operating performance in each year. </t>
    </r>
  </si>
  <si>
    <r>
      <t xml:space="preserve">2  </t>
    </r>
    <r>
      <rPr>
        <b/>
        <sz val="10"/>
        <rFont val="Arial"/>
        <family val="2"/>
      </rPr>
      <t>Quarterly Income Statements for 2012 through 2014 reflect Store Fixtures as discontinued operations.</t>
    </r>
  </si>
  <si>
    <r>
      <t xml:space="preserve">3  </t>
    </r>
    <r>
      <rPr>
        <b/>
        <sz val="11"/>
        <rFont val="Arial"/>
        <family val="2"/>
      </rPr>
      <t>Effective 1Q21, the accounting methodology for valuing domestic steel-related inventory changed from LIFO to FIFO.</t>
    </r>
  </si>
  <si>
    <t>See Appendix - Non-GAAP Adjustments.</t>
  </si>
  <si>
    <t>1Q25</t>
  </si>
  <si>
    <t>2Q25</t>
  </si>
  <si>
    <t>3Q25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</si>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</sst>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_);\(0\)"/>
    <numFmt numFmtId="166" formatCode="0.0%;\(0.0%\)"/>
    <numFmt numFmtId="167" formatCode="_(* #,##0_);_(* \(#,##0\);_(* &quot;-&quot;??_);_(@_)"/>
    <numFmt numFmtId="168" formatCode="0.0_);\(0.0\)"/>
    <numFmt numFmtId="169" formatCode="0.00_);\(0.00\)"/>
    <numFmt numFmtId="170" formatCode="_(* #,##0.0_);_(* \(#,##0.0\);_(* &quot;-&quot;??_);_(@_)"/>
    <numFmt numFmtId="171" formatCode="0.0%"/>
  </numFmts>
  <fonts count="1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u/>
      <sz val="9"/>
      <name val="Calibri"/>
      <family val="2"/>
    </font>
    <font>
      <b/>
      <u/>
      <vertAlign val="superscript"/>
      <sz val="9"/>
      <name val="Calibri"/>
      <family val="2"/>
    </font>
    <font>
      <b/>
      <u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1" fontId="2" fillId="0" borderId="3" xfId="0" applyNumberFormat="1" applyFont="1" applyBorder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44" fontId="2" fillId="0" borderId="0" xfId="1" applyFont="1"/>
    <xf numFmtId="8" fontId="2" fillId="0" borderId="3" xfId="1" applyNumberFormat="1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5" fontId="5" fillId="0" borderId="0" xfId="0" applyNumberFormat="1" applyFont="1"/>
    <xf numFmtId="165" fontId="5" fillId="0" borderId="6" xfId="0" applyNumberFormat="1" applyFont="1" applyBorder="1"/>
    <xf numFmtId="165" fontId="2" fillId="0" borderId="3" xfId="0" applyNumberFormat="1" applyFont="1" applyBorder="1"/>
    <xf numFmtId="165" fontId="4" fillId="0" borderId="3" xfId="0" applyNumberFormat="1" applyFont="1" applyBorder="1"/>
    <xf numFmtId="165" fontId="5" fillId="0" borderId="3" xfId="0" applyNumberFormat="1" applyFont="1" applyBorder="1"/>
    <xf numFmtId="165" fontId="5" fillId="0" borderId="5" xfId="0" applyNumberFormat="1" applyFont="1" applyBorder="1"/>
    <xf numFmtId="8" fontId="2" fillId="0" borderId="0" xfId="1" applyNumberFormat="1" applyFont="1"/>
    <xf numFmtId="0" fontId="3" fillId="0" borderId="2" xfId="0" applyFont="1" applyBorder="1" applyAlignment="1">
      <alignment horizontal="left"/>
    </xf>
    <xf numFmtId="165" fontId="4" fillId="0" borderId="0" xfId="0" applyNumberFormat="1" applyFont="1"/>
    <xf numFmtId="165" fontId="5" fillId="0" borderId="4" xfId="0" applyNumberFormat="1" applyFont="1" applyBorder="1"/>
    <xf numFmtId="0" fontId="8" fillId="0" borderId="0" xfId="0" applyFont="1" applyAlignment="1">
      <alignment vertical="top"/>
    </xf>
    <xf numFmtId="8" fontId="2" fillId="0" borderId="0" xfId="1" applyNumberFormat="1" applyFont="1" applyFill="1"/>
    <xf numFmtId="2" fontId="2" fillId="0" borderId="0" xfId="0" applyNumberFormat="1" applyFont="1"/>
    <xf numFmtId="166" fontId="7" fillId="0" borderId="0" xfId="2" applyNumberFormat="1" applyFont="1" applyBorder="1"/>
    <xf numFmtId="166" fontId="7" fillId="0" borderId="3" xfId="2" applyNumberFormat="1" applyFont="1" applyBorder="1"/>
    <xf numFmtId="166" fontId="6" fillId="0" borderId="0" xfId="2" applyNumberFormat="1" applyFont="1" applyBorder="1"/>
    <xf numFmtId="166" fontId="6" fillId="0" borderId="3" xfId="2" applyNumberFormat="1" applyFont="1" applyBorder="1"/>
    <xf numFmtId="166" fontId="7" fillId="0" borderId="3" xfId="2" applyNumberFormat="1" applyFont="1" applyFill="1" applyBorder="1"/>
    <xf numFmtId="166" fontId="6" fillId="0" borderId="0" xfId="2" applyNumberFormat="1" applyFont="1" applyFill="1" applyBorder="1"/>
    <xf numFmtId="166" fontId="6" fillId="0" borderId="3" xfId="2" applyNumberFormat="1" applyFont="1" applyFill="1" applyBorder="1"/>
    <xf numFmtId="166" fontId="7" fillId="0" borderId="0" xfId="2" applyNumberFormat="1" applyFont="1" applyFill="1" applyBorder="1"/>
    <xf numFmtId="7" fontId="2" fillId="0" borderId="0" xfId="1" applyNumberFormat="1" applyFont="1" applyFill="1"/>
    <xf numFmtId="7" fontId="2" fillId="0" borderId="3" xfId="1" applyNumberFormat="1" applyFont="1" applyFill="1" applyBorder="1"/>
    <xf numFmtId="7" fontId="2" fillId="0" borderId="0" xfId="1" applyNumberFormat="1" applyFont="1"/>
    <xf numFmtId="7" fontId="2" fillId="0" borderId="3" xfId="1" applyNumberFormat="1" applyFont="1" applyBorder="1"/>
    <xf numFmtId="164" fontId="2" fillId="0" borderId="3" xfId="1" applyNumberFormat="1" applyFont="1" applyFill="1" applyBorder="1"/>
    <xf numFmtId="167" fontId="2" fillId="0" borderId="3" xfId="3" applyNumberFormat="1" applyFont="1" applyBorder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/>
    <xf numFmtId="0" fontId="12" fillId="0" borderId="0" xfId="0" applyFont="1" applyAlignment="1">
      <alignment vertical="top"/>
    </xf>
    <xf numFmtId="165" fontId="2" fillId="2" borderId="3" xfId="0" applyNumberFormat="1" applyFont="1" applyFill="1" applyBorder="1"/>
    <xf numFmtId="0" fontId="11" fillId="0" borderId="0" xfId="0" applyFont="1"/>
    <xf numFmtId="165" fontId="2" fillId="0" borderId="7" xfId="0" applyNumberFormat="1" applyFont="1" applyBorder="1"/>
    <xf numFmtId="165" fontId="5" fillId="0" borderId="7" xfId="0" applyNumberFormat="1" applyFont="1" applyBorder="1"/>
    <xf numFmtId="165" fontId="4" fillId="0" borderId="7" xfId="0" applyNumberFormat="1" applyFont="1" applyBorder="1"/>
    <xf numFmtId="8" fontId="2" fillId="0" borderId="7" xfId="1" applyNumberFormat="1" applyFont="1" applyBorder="1"/>
    <xf numFmtId="0" fontId="1" fillId="0" borderId="0" xfId="0" applyFont="1"/>
    <xf numFmtId="8" fontId="2" fillId="0" borderId="0" xfId="1" applyNumberFormat="1" applyFont="1" applyBorder="1"/>
    <xf numFmtId="8" fontId="2" fillId="0" borderId="0" xfId="1" applyNumberFormat="1" applyFont="1" applyFill="1" applyBorder="1"/>
    <xf numFmtId="8" fontId="2" fillId="0" borderId="3" xfId="1" applyNumberFormat="1" applyFont="1" applyFill="1" applyBorder="1"/>
    <xf numFmtId="168" fontId="2" fillId="0" borderId="0" xfId="0" applyNumberFormat="1" applyFont="1"/>
    <xf numFmtId="0" fontId="3" fillId="0" borderId="1" xfId="0" quotePrefix="1" applyFont="1" applyBorder="1" applyAlignment="1">
      <alignment horizontal="right"/>
    </xf>
    <xf numFmtId="168" fontId="2" fillId="0" borderId="3" xfId="0" applyNumberFormat="1" applyFont="1" applyBorder="1"/>
    <xf numFmtId="168" fontId="4" fillId="0" borderId="0" xfId="0" applyNumberFormat="1" applyFont="1"/>
    <xf numFmtId="168" fontId="5" fillId="0" borderId="3" xfId="0" applyNumberFormat="1" applyFont="1" applyBorder="1"/>
    <xf numFmtId="169" fontId="2" fillId="0" borderId="3" xfId="0" applyNumberFormat="1" applyFont="1" applyBorder="1"/>
    <xf numFmtId="170" fontId="2" fillId="0" borderId="3" xfId="3" applyNumberFormat="1" applyFont="1" applyFill="1" applyBorder="1"/>
    <xf numFmtId="170" fontId="2" fillId="0" borderId="3" xfId="3" applyNumberFormat="1" applyFont="1" applyBorder="1"/>
    <xf numFmtId="170" fontId="2" fillId="0" borderId="0" xfId="3" applyNumberFormat="1" applyFont="1" applyBorder="1"/>
    <xf numFmtId="171" fontId="6" fillId="0" borderId="3" xfId="2" applyNumberFormat="1" applyFont="1" applyFill="1" applyBorder="1"/>
    <xf numFmtId="171" fontId="7" fillId="0" borderId="3" xfId="2" applyNumberFormat="1" applyFont="1" applyFill="1" applyBorder="1"/>
    <xf numFmtId="167" fontId="2" fillId="0" borderId="0" xfId="3" applyNumberFormat="1" applyFont="1" applyFill="1" applyBorder="1"/>
    <xf numFmtId="167" fontId="4" fillId="0" borderId="3" xfId="3" applyNumberFormat="1" applyFont="1" applyFill="1" applyBorder="1"/>
    <xf numFmtId="167" fontId="2" fillId="0" borderId="3" xfId="3" applyNumberFormat="1" applyFont="1" applyFill="1" applyBorder="1"/>
    <xf numFmtId="167" fontId="4" fillId="0" borderId="0" xfId="3" applyNumberFormat="1" applyFont="1" applyFill="1" applyBorder="1"/>
    <xf numFmtId="167" fontId="2" fillId="0" borderId="7" xfId="3" applyNumberFormat="1" applyFont="1" applyFill="1" applyBorder="1"/>
    <xf numFmtId="171" fontId="6" fillId="0" borderId="0" xfId="2" applyNumberFormat="1" applyFont="1" applyFill="1" applyBorder="1"/>
    <xf numFmtId="171" fontId="6" fillId="0" borderId="7" xfId="2" applyNumberFormat="1" applyFont="1" applyFill="1" applyBorder="1"/>
    <xf numFmtId="167" fontId="5" fillId="0" borderId="0" xfId="3" applyNumberFormat="1" applyFont="1" applyFill="1" applyBorder="1"/>
    <xf numFmtId="171" fontId="7" fillId="0" borderId="0" xfId="2" applyNumberFormat="1" applyFont="1" applyFill="1" applyBorder="1"/>
    <xf numFmtId="171" fontId="7" fillId="0" borderId="7" xfId="2" applyNumberFormat="1" applyFont="1" applyFill="1" applyBorder="1"/>
    <xf numFmtId="167" fontId="5" fillId="0" borderId="5" xfId="3" applyNumberFormat="1" applyFont="1" applyBorder="1"/>
    <xf numFmtId="167" fontId="5" fillId="0" borderId="6" xfId="3" applyNumberFormat="1" applyFont="1" applyBorder="1"/>
    <xf numFmtId="171" fontId="7" fillId="0" borderId="3" xfId="2" applyNumberFormat="1" applyFont="1" applyBorder="1"/>
    <xf numFmtId="171" fontId="7" fillId="0" borderId="0" xfId="2" applyNumberFormat="1" applyFont="1" applyBorder="1"/>
    <xf numFmtId="171" fontId="7" fillId="0" borderId="9" xfId="2" applyNumberFormat="1" applyFont="1" applyBorder="1"/>
    <xf numFmtId="171" fontId="7" fillId="0" borderId="10" xfId="2" applyNumberFormat="1" applyFont="1" applyBorder="1"/>
    <xf numFmtId="167" fontId="5" fillId="0" borderId="6" xfId="3" applyNumberFormat="1" applyFont="1" applyFill="1" applyBorder="1"/>
    <xf numFmtId="165" fontId="2" fillId="0" borderId="3" xfId="3" applyNumberFormat="1" applyFont="1" applyFill="1" applyBorder="1"/>
    <xf numFmtId="165" fontId="4" fillId="0" borderId="3" xfId="3" applyNumberFormat="1" applyFont="1" applyFill="1" applyBorder="1"/>
    <xf numFmtId="165" fontId="5" fillId="0" borderId="3" xfId="3" applyNumberFormat="1" applyFont="1" applyFill="1" applyBorder="1"/>
    <xf numFmtId="165" fontId="5" fillId="0" borderId="5" xfId="3" applyNumberFormat="1" applyFont="1" applyFill="1" applyBorder="1"/>
    <xf numFmtId="165" fontId="4" fillId="0" borderId="0" xfId="3" applyNumberFormat="1" applyFont="1" applyFill="1" applyBorder="1"/>
    <xf numFmtId="165" fontId="4" fillId="0" borderId="7" xfId="3" applyNumberFormat="1" applyFont="1" applyFill="1" applyBorder="1"/>
    <xf numFmtId="165" fontId="2" fillId="0" borderId="0" xfId="3" applyNumberFormat="1" applyFont="1" applyFill="1" applyBorder="1"/>
    <xf numFmtId="165" fontId="2" fillId="0" borderId="7" xfId="3" applyNumberFormat="1" applyFont="1" applyFill="1" applyBorder="1"/>
    <xf numFmtId="165" fontId="5" fillId="0" borderId="0" xfId="3" applyNumberFormat="1" applyFont="1" applyFill="1" applyBorder="1"/>
    <xf numFmtId="165" fontId="5" fillId="0" borderId="7" xfId="3" applyNumberFormat="1" applyFont="1" applyFill="1" applyBorder="1"/>
    <xf numFmtId="165" fontId="5" fillId="0" borderId="5" xfId="3" applyNumberFormat="1" applyFont="1" applyBorder="1"/>
    <xf numFmtId="165" fontId="5" fillId="0" borderId="6" xfId="3" applyNumberFormat="1" applyFont="1" applyBorder="1"/>
    <xf numFmtId="165" fontId="5" fillId="0" borderId="8" xfId="3" applyNumberFormat="1" applyFont="1" applyBorder="1"/>
    <xf numFmtId="167" fontId="5" fillId="0" borderId="3" xfId="3" applyNumberFormat="1" applyFont="1" applyFill="1" applyBorder="1"/>
    <xf numFmtId="167" fontId="5" fillId="0" borderId="5" xfId="3" applyNumberFormat="1" applyFont="1" applyFill="1" applyBorder="1"/>
    <xf numFmtId="171" fontId="2" fillId="0" borderId="0" xfId="2" applyNumberFormat="1" applyFont="1" applyFill="1" applyBorder="1"/>
    <xf numFmtId="165" fontId="5" fillId="0" borderId="6" xfId="3" applyNumberFormat="1" applyFont="1" applyFill="1" applyBorder="1"/>
    <xf numFmtId="171" fontId="2" fillId="0" borderId="3" xfId="2" applyNumberFormat="1" applyFont="1" applyBorder="1"/>
    <xf numFmtId="0" fontId="13" fillId="0" borderId="0" xfId="0" applyFont="1" applyAlignment="1">
      <alignment horizontal="left" vertical="top" indent="1"/>
    </xf>
    <xf numFmtId="0" fontId="13" fillId="0" borderId="0" xfId="0" applyFont="1" applyAlignment="1">
      <alignment horizontal="left" indent="1"/>
    </xf>
    <xf numFmtId="43" fontId="2" fillId="0" borderId="0" xfId="3" applyFont="1" applyFill="1" applyBorder="1"/>
    <xf numFmtId="167" fontId="2" fillId="0" borderId="0" xfId="3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85"/>
  <sheetViews>
    <sheetView tabSelected="1" zoomScaleNormal="100" workbookViewId="0">
      <pane xSplit="6" topLeftCell="BW1" activePane="topRight" state="frozen"/>
      <selection pane="topRight" activeCell="CV23" sqref="CV23"/>
    </sheetView>
  </sheetViews>
  <sheetFormatPr defaultColWidth="9.140625" defaultRowHeight="12" outlineLevelCol="1" x14ac:dyDescent="0.2"/>
  <cols>
    <col min="1" max="1" width="31" style="1" customWidth="1"/>
    <col min="2" max="3" width="6.7109375" style="1" hidden="1" customWidth="1" outlineLevel="1"/>
    <col min="4" max="4" width="6.7109375" style="12" hidden="1" customWidth="1" outlineLevel="1"/>
    <col min="5" max="5" width="6.7109375" style="1" hidden="1" customWidth="1" outlineLevel="1"/>
    <col min="6" max="6" width="6.7109375" style="1" hidden="1" customWidth="1" collapsed="1"/>
    <col min="7" max="9" width="6.28515625" style="1" customWidth="1"/>
    <col min="10" max="10" width="7.28515625" style="1" customWidth="1"/>
    <col min="11" max="45" width="6.28515625" style="1" customWidth="1"/>
    <col min="46" max="46" width="7" style="1" bestFit="1" customWidth="1"/>
    <col min="47" max="47" width="6.28515625" style="1" customWidth="1"/>
    <col min="48" max="56" width="6.5703125" style="1" bestFit="1" customWidth="1"/>
    <col min="57" max="57" width="6.5703125" style="1" customWidth="1"/>
    <col min="58" max="62" width="6.5703125" style="1" bestFit="1" customWidth="1"/>
    <col min="63" max="63" width="7.5703125" style="1" bestFit="1" customWidth="1"/>
    <col min="64" max="65" width="6.5703125" style="1" bestFit="1" customWidth="1"/>
    <col min="66" max="66" width="7" style="1" bestFit="1" customWidth="1"/>
    <col min="67" max="71" width="6.5703125" style="1" bestFit="1" customWidth="1"/>
    <col min="72" max="75" width="6.7109375" style="1" customWidth="1"/>
    <col min="76" max="76" width="7.5703125" style="1" customWidth="1"/>
    <col min="77" max="80" width="6.7109375" style="1" customWidth="1"/>
    <col min="81" max="81" width="7.7109375" style="1" customWidth="1"/>
    <col min="82" max="85" width="6.7109375" style="1" customWidth="1"/>
    <col min="86" max="86" width="7.7109375" style="1" customWidth="1"/>
    <col min="87" max="90" width="6.7109375" style="1" customWidth="1"/>
    <col min="91" max="91" width="8.140625" style="1" customWidth="1"/>
    <col min="92" max="95" width="6.7109375" style="1" customWidth="1"/>
    <col min="96" max="96" width="8.140625" style="1" customWidth="1"/>
    <col min="97" max="100" width="6.7109375" style="1" customWidth="1"/>
    <col min="101" max="101" width="8" style="1" customWidth="1"/>
    <col min="102" max="16384" width="9.140625" style="1"/>
  </cols>
  <sheetData>
    <row r="1" spans="1:101" s="15" customFormat="1" ht="21.75" customHeight="1" thickBot="1" x14ac:dyDescent="0.25">
      <c r="A1" s="45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01" ht="15" thickBot="1" x14ac:dyDescent="0.25">
      <c r="A2" s="6"/>
      <c r="B2" s="2" t="s">
        <v>1</v>
      </c>
      <c r="C2" s="2" t="s">
        <v>2</v>
      </c>
      <c r="D2" s="2" t="s">
        <v>3</v>
      </c>
      <c r="E2" s="2" t="s">
        <v>4</v>
      </c>
      <c r="F2" s="3">
        <v>2006</v>
      </c>
      <c r="G2" s="2" t="s">
        <v>5</v>
      </c>
      <c r="H2" s="2" t="s">
        <v>6</v>
      </c>
      <c r="I2" s="2" t="s">
        <v>7</v>
      </c>
      <c r="J2" s="2" t="s">
        <v>8</v>
      </c>
      <c r="K2" s="3">
        <v>2007</v>
      </c>
      <c r="L2" s="2" t="s">
        <v>9</v>
      </c>
      <c r="M2" s="2" t="s">
        <v>10</v>
      </c>
      <c r="N2" s="2" t="s">
        <v>11</v>
      </c>
      <c r="O2" s="2" t="s">
        <v>12</v>
      </c>
      <c r="P2" s="3">
        <v>2008</v>
      </c>
      <c r="Q2" s="2" t="s">
        <v>13</v>
      </c>
      <c r="R2" s="2" t="s">
        <v>14</v>
      </c>
      <c r="S2" s="2" t="s">
        <v>15</v>
      </c>
      <c r="T2" s="2" t="s">
        <v>16</v>
      </c>
      <c r="U2" s="3">
        <v>2009</v>
      </c>
      <c r="V2" s="2" t="s">
        <v>17</v>
      </c>
      <c r="W2" s="2" t="s">
        <v>18</v>
      </c>
      <c r="X2" s="2" t="s">
        <v>19</v>
      </c>
      <c r="Y2" s="2" t="s">
        <v>20</v>
      </c>
      <c r="Z2" s="3">
        <v>2010</v>
      </c>
      <c r="AA2" s="2" t="s">
        <v>21</v>
      </c>
      <c r="AB2" s="2" t="s">
        <v>22</v>
      </c>
      <c r="AC2" s="2" t="s">
        <v>23</v>
      </c>
      <c r="AD2" s="2" t="s">
        <v>24</v>
      </c>
      <c r="AE2" s="3">
        <v>2011</v>
      </c>
      <c r="AF2" s="2" t="s">
        <v>25</v>
      </c>
      <c r="AG2" s="2" t="s">
        <v>26</v>
      </c>
      <c r="AH2" s="2" t="s">
        <v>27</v>
      </c>
      <c r="AI2" s="2" t="s">
        <v>28</v>
      </c>
      <c r="AJ2" s="60" t="s">
        <v>29</v>
      </c>
      <c r="AK2" s="2" t="s">
        <v>30</v>
      </c>
      <c r="AL2" s="2" t="s">
        <v>31</v>
      </c>
      <c r="AM2" s="2" t="s">
        <v>32</v>
      </c>
      <c r="AN2" s="2" t="s">
        <v>33</v>
      </c>
      <c r="AO2" s="60" t="s">
        <v>34</v>
      </c>
      <c r="AP2" s="2" t="s">
        <v>35</v>
      </c>
      <c r="AQ2" s="2" t="s">
        <v>36</v>
      </c>
      <c r="AR2" s="2" t="s">
        <v>37</v>
      </c>
      <c r="AS2" s="2" t="s">
        <v>38</v>
      </c>
      <c r="AT2" s="60" t="s">
        <v>39</v>
      </c>
      <c r="AU2" s="2" t="s">
        <v>40</v>
      </c>
      <c r="AV2" s="2" t="s">
        <v>41</v>
      </c>
      <c r="AW2" s="2" t="s">
        <v>42</v>
      </c>
      <c r="AX2" s="2" t="s">
        <v>43</v>
      </c>
      <c r="AY2" s="3" t="s">
        <v>44</v>
      </c>
      <c r="AZ2" s="2" t="s">
        <v>45</v>
      </c>
      <c r="BA2" s="2" t="s">
        <v>46</v>
      </c>
      <c r="BB2" s="2" t="s">
        <v>47</v>
      </c>
      <c r="BC2" s="2" t="s">
        <v>48</v>
      </c>
      <c r="BD2" s="3" t="s">
        <v>49</v>
      </c>
      <c r="BE2" s="2" t="s">
        <v>50</v>
      </c>
      <c r="BF2" s="2" t="s">
        <v>51</v>
      </c>
      <c r="BG2" s="2" t="s">
        <v>52</v>
      </c>
      <c r="BH2" s="2" t="s">
        <v>53</v>
      </c>
      <c r="BI2" s="3" t="s">
        <v>54</v>
      </c>
      <c r="BJ2" s="2" t="s">
        <v>55</v>
      </c>
      <c r="BK2" s="2" t="s">
        <v>56</v>
      </c>
      <c r="BL2" s="2" t="s">
        <v>57</v>
      </c>
      <c r="BM2" s="2" t="s">
        <v>58</v>
      </c>
      <c r="BN2" s="3" t="s">
        <v>59</v>
      </c>
      <c r="BO2" s="2" t="s">
        <v>60</v>
      </c>
      <c r="BP2" s="2" t="s">
        <v>61</v>
      </c>
      <c r="BQ2" s="2" t="s">
        <v>62</v>
      </c>
      <c r="BR2" s="2" t="s">
        <v>63</v>
      </c>
      <c r="BS2" s="3" t="s">
        <v>64</v>
      </c>
      <c r="BT2" s="2" t="s">
        <v>65</v>
      </c>
      <c r="BU2" s="2" t="s">
        <v>66</v>
      </c>
      <c r="BV2" s="2" t="s">
        <v>67</v>
      </c>
      <c r="BW2" s="2" t="s">
        <v>68</v>
      </c>
      <c r="BX2" s="3" t="s">
        <v>69</v>
      </c>
      <c r="BY2" s="2" t="s">
        <v>70</v>
      </c>
      <c r="BZ2" s="2" t="s">
        <v>71</v>
      </c>
      <c r="CA2" s="2" t="s">
        <v>72</v>
      </c>
      <c r="CB2" s="2" t="s">
        <v>73</v>
      </c>
      <c r="CC2" s="3">
        <v>2021</v>
      </c>
      <c r="CD2" s="2" t="s">
        <v>74</v>
      </c>
      <c r="CE2" s="2" t="s">
        <v>75</v>
      </c>
      <c r="CF2" s="2" t="s">
        <v>76</v>
      </c>
      <c r="CG2" s="2" t="s">
        <v>77</v>
      </c>
      <c r="CH2" s="3">
        <v>2022</v>
      </c>
      <c r="CI2" s="2" t="s">
        <v>78</v>
      </c>
      <c r="CJ2" s="2" t="s">
        <v>79</v>
      </c>
      <c r="CK2" s="2" t="s">
        <v>80</v>
      </c>
      <c r="CL2" s="2" t="s">
        <v>81</v>
      </c>
      <c r="CM2" s="3">
        <v>2023</v>
      </c>
      <c r="CN2" s="2" t="s">
        <v>82</v>
      </c>
      <c r="CO2" s="2" t="s">
        <v>83</v>
      </c>
      <c r="CP2" s="2" t="s">
        <v>84</v>
      </c>
      <c r="CQ2" s="2" t="s">
        <v>85</v>
      </c>
      <c r="CR2" s="3">
        <v>2024</v>
      </c>
      <c r="CS2" s="2" t="s">
        <v>193</v>
      </c>
      <c r="CT2" s="2" t="s">
        <v>194</v>
      </c>
      <c r="CU2" s="2" t="s">
        <v>195</v>
      </c>
      <c r="CV2" s="2" t="s">
        <v>196</v>
      </c>
      <c r="CW2" s="3">
        <v>2025</v>
      </c>
    </row>
    <row r="3" spans="1:101" ht="12.75" thickBot="1" x14ac:dyDescent="0.25">
      <c r="A3" s="4" t="s">
        <v>86</v>
      </c>
      <c r="B3" s="2"/>
      <c r="C3" s="2"/>
      <c r="D3" s="2"/>
      <c r="E3" s="2"/>
      <c r="F3" s="5"/>
      <c r="G3" s="2"/>
      <c r="H3" s="2"/>
      <c r="I3" s="2"/>
      <c r="J3" s="2"/>
      <c r="K3" s="5"/>
      <c r="L3" s="2"/>
      <c r="M3" s="2"/>
      <c r="N3" s="2"/>
      <c r="O3" s="2"/>
      <c r="P3" s="5"/>
      <c r="Q3" s="2"/>
      <c r="R3" s="2"/>
      <c r="S3" s="2"/>
      <c r="T3" s="2"/>
      <c r="U3" s="5"/>
      <c r="V3" s="2"/>
      <c r="W3" s="2"/>
      <c r="X3" s="2"/>
      <c r="Y3" s="2"/>
      <c r="Z3" s="5"/>
      <c r="AA3" s="2"/>
      <c r="AB3" s="2"/>
      <c r="AC3" s="2"/>
      <c r="AD3" s="2"/>
      <c r="AE3" s="5"/>
      <c r="AF3" s="2"/>
      <c r="AG3" s="2"/>
      <c r="AH3" s="2"/>
      <c r="AI3" s="2"/>
      <c r="AJ3" s="5"/>
      <c r="AK3" s="2"/>
      <c r="AL3" s="2"/>
      <c r="AM3" s="2"/>
      <c r="AN3" s="2"/>
      <c r="AO3" s="5"/>
      <c r="AP3" s="2"/>
      <c r="AQ3" s="2"/>
      <c r="AR3" s="2"/>
      <c r="AS3" s="2"/>
      <c r="AT3" s="5"/>
      <c r="AU3" s="2"/>
      <c r="AV3" s="2"/>
      <c r="AW3" s="2"/>
      <c r="AX3" s="2"/>
      <c r="AY3" s="5"/>
      <c r="AZ3" s="2"/>
      <c r="BA3" s="2"/>
      <c r="BB3" s="2"/>
      <c r="BC3" s="2"/>
      <c r="BD3" s="5"/>
      <c r="BE3" s="2"/>
      <c r="BF3" s="2"/>
      <c r="BG3" s="2"/>
      <c r="BH3" s="2"/>
      <c r="BI3" s="5"/>
      <c r="BJ3" s="2"/>
      <c r="BK3" s="2"/>
      <c r="BL3" s="2"/>
      <c r="BM3" s="2"/>
      <c r="BN3" s="5"/>
      <c r="BO3" s="2"/>
      <c r="BP3" s="2"/>
      <c r="BQ3" s="2"/>
      <c r="BR3" s="2"/>
      <c r="BS3" s="5"/>
      <c r="BT3" s="2"/>
      <c r="BU3" s="2"/>
      <c r="BV3" s="2"/>
      <c r="BW3" s="2"/>
      <c r="BX3" s="5"/>
      <c r="BY3" s="2"/>
      <c r="BZ3" s="2"/>
      <c r="CA3" s="2"/>
      <c r="CB3" s="2"/>
      <c r="CC3" s="5"/>
      <c r="CD3" s="2"/>
      <c r="CE3" s="2"/>
      <c r="CF3" s="2"/>
      <c r="CG3" s="2"/>
      <c r="CH3" s="5"/>
      <c r="CI3" s="2"/>
      <c r="CJ3" s="2"/>
      <c r="CK3" s="2"/>
      <c r="CL3" s="2"/>
      <c r="CM3" s="5"/>
      <c r="CN3" s="2"/>
      <c r="CO3" s="2"/>
      <c r="CP3" s="2"/>
      <c r="CQ3" s="2"/>
      <c r="CR3" s="5"/>
      <c r="CS3" s="2"/>
      <c r="CT3" s="2"/>
      <c r="CU3" s="2"/>
      <c r="CV3" s="2"/>
      <c r="CW3" s="5"/>
    </row>
    <row r="4" spans="1:101" x14ac:dyDescent="0.2">
      <c r="A4" s="1" t="s">
        <v>87</v>
      </c>
      <c r="B4" s="17">
        <v>1047.2</v>
      </c>
      <c r="C4" s="17">
        <v>1078.5</v>
      </c>
      <c r="D4" s="17">
        <v>1115.5</v>
      </c>
      <c r="E4" s="17">
        <v>1025.7</v>
      </c>
      <c r="F4" s="20">
        <f>SUM(B4:E4)</f>
        <v>4266.8999999999996</v>
      </c>
      <c r="G4" s="17">
        <v>1047.5999999999999</v>
      </c>
      <c r="H4" s="17">
        <v>1070.5</v>
      </c>
      <c r="I4" s="17">
        <v>1092.2</v>
      </c>
      <c r="J4" s="17">
        <v>1039.7</v>
      </c>
      <c r="K4" s="20">
        <f>SUM(G4:J4)</f>
        <v>4250</v>
      </c>
      <c r="L4" s="17">
        <v>998.3</v>
      </c>
      <c r="M4" s="17">
        <v>1063.0999999999999</v>
      </c>
      <c r="N4" s="17">
        <v>1132.2</v>
      </c>
      <c r="O4" s="17">
        <v>882.5</v>
      </c>
      <c r="P4" s="20">
        <f>SUM(L4:O4)</f>
        <v>4076.0999999999995</v>
      </c>
      <c r="Q4" s="17">
        <v>718.1</v>
      </c>
      <c r="R4" s="17">
        <v>757.4</v>
      </c>
      <c r="S4" s="17">
        <v>809.9</v>
      </c>
      <c r="T4" s="17">
        <v>769.7</v>
      </c>
      <c r="U4" s="20">
        <f>SUM(Q4:T4)</f>
        <v>3055.1000000000004</v>
      </c>
      <c r="V4" s="17">
        <v>816.4</v>
      </c>
      <c r="W4" s="17">
        <v>874.3</v>
      </c>
      <c r="X4" s="17">
        <v>866.5</v>
      </c>
      <c r="Y4" s="17">
        <v>801.9</v>
      </c>
      <c r="Z4" s="20">
        <f>SUM(V4:Y4)</f>
        <v>3359.1</v>
      </c>
      <c r="AA4" s="17">
        <v>895.8</v>
      </c>
      <c r="AB4" s="17">
        <v>945.2</v>
      </c>
      <c r="AC4" s="17">
        <v>940.9</v>
      </c>
      <c r="AD4" s="17">
        <v>854.1</v>
      </c>
      <c r="AE4" s="20">
        <f>SUM(AA4:AD4)</f>
        <v>3636</v>
      </c>
      <c r="AF4" s="17">
        <v>875.5</v>
      </c>
      <c r="AG4" s="17">
        <v>867.3</v>
      </c>
      <c r="AH4" s="17">
        <v>862.9</v>
      </c>
      <c r="AI4" s="17">
        <v>808.8</v>
      </c>
      <c r="AJ4" s="20">
        <f>SUM(AF4:AI4)</f>
        <v>3414.5</v>
      </c>
      <c r="AK4" s="17">
        <v>860.8</v>
      </c>
      <c r="AL4" s="17">
        <v>879.6</v>
      </c>
      <c r="AM4" s="17">
        <v>877.6</v>
      </c>
      <c r="AN4" s="17">
        <v>859.2</v>
      </c>
      <c r="AO4" s="20">
        <f>SUM(AK4:AN4)</f>
        <v>3477.2</v>
      </c>
      <c r="AP4" s="17">
        <v>875.5</v>
      </c>
      <c r="AQ4" s="17">
        <v>956.1</v>
      </c>
      <c r="AR4" s="17">
        <v>997.4</v>
      </c>
      <c r="AS4" s="17">
        <v>953.3</v>
      </c>
      <c r="AT4" s="20">
        <f>SUM(AP4:AS4)</f>
        <v>3782.3</v>
      </c>
      <c r="AU4" s="59">
        <v>966.2</v>
      </c>
      <c r="AV4" s="17">
        <v>997.3</v>
      </c>
      <c r="AW4" s="17">
        <v>1009.1</v>
      </c>
      <c r="AX4" s="17">
        <v>944.6</v>
      </c>
      <c r="AY4" s="20">
        <f>SUM(AU4:AX4)</f>
        <v>3917.2</v>
      </c>
      <c r="AZ4" s="17">
        <v>938.4</v>
      </c>
      <c r="BA4" s="17">
        <v>958.9</v>
      </c>
      <c r="BB4" s="17">
        <v>948.9</v>
      </c>
      <c r="BC4" s="17">
        <v>903.7</v>
      </c>
      <c r="BD4" s="20">
        <f>SUM(AZ4:BC4)</f>
        <v>3749.8999999999996</v>
      </c>
      <c r="BE4" s="17">
        <v>960.3</v>
      </c>
      <c r="BF4" s="17">
        <v>989.3</v>
      </c>
      <c r="BG4" s="17">
        <v>1009.7</v>
      </c>
      <c r="BH4" s="17">
        <v>984.5</v>
      </c>
      <c r="BI4" s="20">
        <f>SUM(BE4:BH4)</f>
        <v>3943.8</v>
      </c>
      <c r="BJ4" s="17">
        <v>1028.8</v>
      </c>
      <c r="BK4" s="17">
        <v>1102.45</v>
      </c>
      <c r="BL4" s="17">
        <v>1091.5</v>
      </c>
      <c r="BM4" s="17">
        <v>1046.7</v>
      </c>
      <c r="BN4" s="20">
        <f>SUM(BJ4:BM4)+0.05</f>
        <v>4269.5</v>
      </c>
      <c r="BO4" s="17">
        <v>1155.0999999999999</v>
      </c>
      <c r="BP4" s="17">
        <v>1213.2</v>
      </c>
      <c r="BQ4" s="17">
        <v>1239.3</v>
      </c>
      <c r="BR4" s="17">
        <v>1144.9000000000001</v>
      </c>
      <c r="BS4" s="20">
        <f>SUM(BO4:BR4)</f>
        <v>4752.5</v>
      </c>
      <c r="BT4" s="17">
        <v>1045.5</v>
      </c>
      <c r="BU4" s="17">
        <v>845.1</v>
      </c>
      <c r="BV4" s="17">
        <v>1207.5999999999999</v>
      </c>
      <c r="BW4" s="17">
        <v>1182</v>
      </c>
      <c r="BX4" s="87">
        <f>SUM(BT4:BW4)</f>
        <v>4280.2</v>
      </c>
      <c r="BY4" s="17">
        <v>1150.9000000000001</v>
      </c>
      <c r="BZ4" s="17">
        <v>1269.5999999999999</v>
      </c>
      <c r="CA4" s="17">
        <v>1319.2</v>
      </c>
      <c r="CB4" s="17">
        <v>1332.9</v>
      </c>
      <c r="CC4" s="87">
        <f>SUM(BY4:CB4)</f>
        <v>5072.6000000000004</v>
      </c>
      <c r="CD4" s="17">
        <v>1322.3</v>
      </c>
      <c r="CE4" s="17">
        <v>1334.2</v>
      </c>
      <c r="CF4" s="17">
        <v>1294.4000000000001</v>
      </c>
      <c r="CG4" s="17">
        <v>1195.8</v>
      </c>
      <c r="CH4" s="87">
        <f>SUM(CD4:CG4)</f>
        <v>5146.7</v>
      </c>
      <c r="CI4" s="17">
        <v>1213.5999999999999</v>
      </c>
      <c r="CJ4" s="17">
        <v>1221.2</v>
      </c>
      <c r="CK4" s="17">
        <v>1175.4000000000001</v>
      </c>
      <c r="CL4" s="17">
        <v>1115.0999999999999</v>
      </c>
      <c r="CM4" s="87">
        <f>SUM(CI4:CL4)</f>
        <v>4725.3</v>
      </c>
      <c r="CN4" s="17">
        <v>1096.9000000000001</v>
      </c>
      <c r="CO4" s="17">
        <v>1128.5999999999999</v>
      </c>
      <c r="CP4" s="17">
        <v>1101.7</v>
      </c>
      <c r="CQ4" s="17">
        <v>1056.4000000000001</v>
      </c>
      <c r="CR4" s="87">
        <f>SUM(CN4:CQ4)</f>
        <v>4383.6000000000004</v>
      </c>
      <c r="CS4" s="17">
        <v>1022.1</v>
      </c>
      <c r="CT4" s="17">
        <v>1058</v>
      </c>
      <c r="CU4" s="17">
        <v>1036.4000000000001</v>
      </c>
      <c r="CV4" s="17">
        <v>938.6</v>
      </c>
      <c r="CW4" s="87">
        <f>SUM(CS4:CV4)</f>
        <v>4055.1</v>
      </c>
    </row>
    <row r="5" spans="1:101" x14ac:dyDescent="0.2">
      <c r="A5" s="1" t="s">
        <v>88</v>
      </c>
      <c r="B5" s="26">
        <v>860</v>
      </c>
      <c r="C5" s="26">
        <v>876</v>
      </c>
      <c r="D5" s="26">
        <v>898.1</v>
      </c>
      <c r="E5" s="26">
        <v>830.2</v>
      </c>
      <c r="F5" s="21">
        <f>SUM(B5:E5)</f>
        <v>3464.3</v>
      </c>
      <c r="G5" s="26">
        <v>851.1</v>
      </c>
      <c r="H5" s="26">
        <v>863.5</v>
      </c>
      <c r="I5" s="26">
        <v>876.6</v>
      </c>
      <c r="J5" s="26">
        <v>863</v>
      </c>
      <c r="K5" s="21">
        <f>SUM(G5:J5)</f>
        <v>3454.2</v>
      </c>
      <c r="L5" s="26">
        <v>821.2</v>
      </c>
      <c r="M5" s="26">
        <v>866.7</v>
      </c>
      <c r="N5" s="26">
        <v>925.1</v>
      </c>
      <c r="O5" s="26">
        <v>771.9</v>
      </c>
      <c r="P5" s="21">
        <f>SUM(L5:O5)</f>
        <v>3384.9</v>
      </c>
      <c r="Q5" s="26">
        <v>593.1</v>
      </c>
      <c r="R5" s="26">
        <v>610.20000000000005</v>
      </c>
      <c r="S5" s="26">
        <v>622.6</v>
      </c>
      <c r="T5" s="26">
        <v>599.5</v>
      </c>
      <c r="U5" s="21">
        <f>SUM(Q5:T5)</f>
        <v>2425.4</v>
      </c>
      <c r="V5" s="26">
        <v>650.9</v>
      </c>
      <c r="W5" s="26">
        <v>694.6</v>
      </c>
      <c r="X5" s="26">
        <v>697.8</v>
      </c>
      <c r="Y5" s="26">
        <v>660.4</v>
      </c>
      <c r="Z5" s="21">
        <f>SUM(V5:Y5)</f>
        <v>2703.7</v>
      </c>
      <c r="AA5" s="26">
        <v>725.8</v>
      </c>
      <c r="AB5" s="26">
        <v>763.3</v>
      </c>
      <c r="AC5" s="26">
        <v>770.5</v>
      </c>
      <c r="AD5" s="26">
        <v>711.1</v>
      </c>
      <c r="AE5" s="21">
        <f>SUM(AA5:AD5)</f>
        <v>2970.7</v>
      </c>
      <c r="AF5" s="26">
        <v>707.7</v>
      </c>
      <c r="AG5" s="26">
        <v>691.5</v>
      </c>
      <c r="AH5" s="26">
        <v>683.5</v>
      </c>
      <c r="AI5" s="26">
        <v>636.20000000000005</v>
      </c>
      <c r="AJ5" s="21">
        <f>SUM(AF5:AI5)</f>
        <v>2718.8999999999996</v>
      </c>
      <c r="AK5" s="26">
        <v>680.9</v>
      </c>
      <c r="AL5" s="26">
        <v>694.3</v>
      </c>
      <c r="AM5" s="26">
        <v>698</v>
      </c>
      <c r="AN5" s="26">
        <v>694.1</v>
      </c>
      <c r="AO5" s="21">
        <f>SUM(AK5:AN5)</f>
        <v>2767.2999999999997</v>
      </c>
      <c r="AP5" s="26">
        <v>698.7</v>
      </c>
      <c r="AQ5" s="26">
        <v>755.4</v>
      </c>
      <c r="AR5" s="26">
        <v>788.3</v>
      </c>
      <c r="AS5" s="26">
        <v>749.5</v>
      </c>
      <c r="AT5" s="21">
        <f>SUM(AP5:AS5)</f>
        <v>2991.8999999999996</v>
      </c>
      <c r="AU5" s="62">
        <v>753.4</v>
      </c>
      <c r="AV5" s="26">
        <v>772.80000000000007</v>
      </c>
      <c r="AW5" s="26">
        <v>782.00000000000011</v>
      </c>
      <c r="AX5" s="26">
        <v>732.2</v>
      </c>
      <c r="AY5" s="21">
        <f>SUM(AU5:AX5)</f>
        <v>3040.4000000000005</v>
      </c>
      <c r="AZ5" s="26">
        <v>705.09999999999991</v>
      </c>
      <c r="BA5" s="26">
        <v>718.20000000000016</v>
      </c>
      <c r="BB5" s="26">
        <v>726.2</v>
      </c>
      <c r="BC5" s="26">
        <v>686.99999999999977</v>
      </c>
      <c r="BD5" s="21">
        <f>SUM(AZ5:BC5)</f>
        <v>2836.5</v>
      </c>
      <c r="BE5" s="26">
        <v>733.80000000000007</v>
      </c>
      <c r="BF5" s="26">
        <v>756.90000000000009</v>
      </c>
      <c r="BG5" s="26">
        <v>786.50000000000023</v>
      </c>
      <c r="BH5" s="26">
        <v>770</v>
      </c>
      <c r="BI5" s="21">
        <f>SUM(BE5:BH5)</f>
        <v>3047.2000000000007</v>
      </c>
      <c r="BJ5" s="26">
        <v>805.5</v>
      </c>
      <c r="BK5" s="26">
        <v>858.99999999999989</v>
      </c>
      <c r="BL5" s="26">
        <v>859.20000000000016</v>
      </c>
      <c r="BM5" s="26">
        <v>833.7</v>
      </c>
      <c r="BN5" s="21">
        <f>SUM(BJ5:BM5)</f>
        <v>3357.4000000000005</v>
      </c>
      <c r="BO5" s="26">
        <v>921.00000000000011</v>
      </c>
      <c r="BP5" s="26">
        <v>952.99999999999989</v>
      </c>
      <c r="BQ5" s="26">
        <v>969.70000000000016</v>
      </c>
      <c r="BR5" s="26">
        <v>884.79999999999984</v>
      </c>
      <c r="BS5" s="21">
        <f>SUM(BO5:BR5)</f>
        <v>3728.5</v>
      </c>
      <c r="BT5" s="26">
        <v>824.8</v>
      </c>
      <c r="BU5" s="26">
        <v>698.50000000000011</v>
      </c>
      <c r="BV5" s="26">
        <v>937.89999999999986</v>
      </c>
      <c r="BW5" s="26">
        <v>914.89999999999986</v>
      </c>
      <c r="BX5" s="88">
        <f>SUM(BT5:BW5)</f>
        <v>3376.0999999999995</v>
      </c>
      <c r="BY5" s="26">
        <v>903.4</v>
      </c>
      <c r="BZ5" s="26">
        <v>1000.3</v>
      </c>
      <c r="CA5" s="26">
        <v>1063.0999999999999</v>
      </c>
      <c r="CB5" s="26">
        <v>1067.5</v>
      </c>
      <c r="CC5" s="88">
        <f>SUM(BY5:CB5)</f>
        <v>4034.2999999999997</v>
      </c>
      <c r="CD5" s="26">
        <v>1055</v>
      </c>
      <c r="CE5" s="26">
        <v>1065.8</v>
      </c>
      <c r="CF5" s="26">
        <v>1063.9000000000001</v>
      </c>
      <c r="CG5" s="26">
        <v>985.2</v>
      </c>
      <c r="CH5" s="88">
        <f>SUM(CD5:CG5)</f>
        <v>4169.9000000000005</v>
      </c>
      <c r="CI5" s="26">
        <v>995</v>
      </c>
      <c r="CJ5" s="26">
        <v>1000.1</v>
      </c>
      <c r="CK5" s="26">
        <v>961.1</v>
      </c>
      <c r="CL5" s="26">
        <v>915.3</v>
      </c>
      <c r="CM5" s="88">
        <f>SUM(CI5:CL5)</f>
        <v>3871.5</v>
      </c>
      <c r="CN5" s="26">
        <v>910.5</v>
      </c>
      <c r="CO5" s="26">
        <v>942.1</v>
      </c>
      <c r="CP5" s="26">
        <v>901.1</v>
      </c>
      <c r="CQ5" s="26">
        <v>880.8</v>
      </c>
      <c r="CR5" s="88">
        <f>SUM(CN5:CQ5)</f>
        <v>3634.5</v>
      </c>
      <c r="CS5" s="26">
        <v>832.1</v>
      </c>
      <c r="CT5" s="26">
        <v>865.4</v>
      </c>
      <c r="CU5" s="26">
        <v>842.7</v>
      </c>
      <c r="CV5" s="26">
        <v>770.8</v>
      </c>
      <c r="CW5" s="88">
        <f>SUM(CS5:CV5)</f>
        <v>3311</v>
      </c>
    </row>
    <row r="6" spans="1:101" x14ac:dyDescent="0.2">
      <c r="A6" s="6" t="s">
        <v>89</v>
      </c>
      <c r="B6" s="17">
        <f t="shared" ref="B6:AG6" si="0">+B4-B5</f>
        <v>187.20000000000005</v>
      </c>
      <c r="C6" s="17">
        <f t="shared" si="0"/>
        <v>202.5</v>
      </c>
      <c r="D6" s="17">
        <f t="shared" si="0"/>
        <v>217.39999999999998</v>
      </c>
      <c r="E6" s="17">
        <f t="shared" si="0"/>
        <v>195.5</v>
      </c>
      <c r="F6" s="20">
        <f t="shared" si="0"/>
        <v>802.59999999999945</v>
      </c>
      <c r="G6" s="17">
        <f t="shared" si="0"/>
        <v>196.49999999999989</v>
      </c>
      <c r="H6" s="17">
        <f t="shared" si="0"/>
        <v>207</v>
      </c>
      <c r="I6" s="17">
        <f t="shared" si="0"/>
        <v>215.60000000000002</v>
      </c>
      <c r="J6" s="17">
        <f t="shared" si="0"/>
        <v>176.70000000000005</v>
      </c>
      <c r="K6" s="20">
        <f t="shared" si="0"/>
        <v>795.80000000000018</v>
      </c>
      <c r="L6" s="17">
        <f t="shared" si="0"/>
        <v>177.09999999999991</v>
      </c>
      <c r="M6" s="17">
        <f t="shared" si="0"/>
        <v>196.39999999999986</v>
      </c>
      <c r="N6" s="17">
        <f t="shared" si="0"/>
        <v>207.10000000000002</v>
      </c>
      <c r="O6" s="17">
        <f t="shared" si="0"/>
        <v>110.60000000000002</v>
      </c>
      <c r="P6" s="20">
        <f t="shared" si="0"/>
        <v>691.19999999999936</v>
      </c>
      <c r="Q6" s="17">
        <f t="shared" si="0"/>
        <v>125</v>
      </c>
      <c r="R6" s="17">
        <f t="shared" si="0"/>
        <v>147.19999999999993</v>
      </c>
      <c r="S6" s="17">
        <f t="shared" si="0"/>
        <v>187.29999999999995</v>
      </c>
      <c r="T6" s="17">
        <f t="shared" si="0"/>
        <v>170.20000000000005</v>
      </c>
      <c r="U6" s="20">
        <f t="shared" si="0"/>
        <v>629.70000000000027</v>
      </c>
      <c r="V6" s="17">
        <f t="shared" si="0"/>
        <v>165.5</v>
      </c>
      <c r="W6" s="17">
        <f t="shared" si="0"/>
        <v>179.69999999999993</v>
      </c>
      <c r="X6" s="17">
        <f t="shared" si="0"/>
        <v>168.70000000000005</v>
      </c>
      <c r="Y6" s="17">
        <f t="shared" si="0"/>
        <v>141.5</v>
      </c>
      <c r="Z6" s="20">
        <f t="shared" si="0"/>
        <v>655.40000000000009</v>
      </c>
      <c r="AA6" s="17">
        <f t="shared" si="0"/>
        <v>170</v>
      </c>
      <c r="AB6" s="17">
        <f t="shared" si="0"/>
        <v>181.90000000000009</v>
      </c>
      <c r="AC6" s="17">
        <f t="shared" si="0"/>
        <v>170.39999999999998</v>
      </c>
      <c r="AD6" s="17">
        <f t="shared" si="0"/>
        <v>143</v>
      </c>
      <c r="AE6" s="20">
        <f t="shared" si="0"/>
        <v>665.30000000000018</v>
      </c>
      <c r="AF6" s="17">
        <f t="shared" si="0"/>
        <v>167.79999999999995</v>
      </c>
      <c r="AG6" s="17">
        <f t="shared" si="0"/>
        <v>175.79999999999995</v>
      </c>
      <c r="AH6" s="17">
        <f t="shared" ref="AH6:BM6" si="1">+AH4-AH5</f>
        <v>179.39999999999998</v>
      </c>
      <c r="AI6" s="17">
        <f t="shared" si="1"/>
        <v>172.59999999999991</v>
      </c>
      <c r="AJ6" s="20">
        <f t="shared" si="1"/>
        <v>695.60000000000036</v>
      </c>
      <c r="AK6" s="17">
        <f t="shared" si="1"/>
        <v>179.89999999999998</v>
      </c>
      <c r="AL6" s="17">
        <f t="shared" si="1"/>
        <v>185.30000000000007</v>
      </c>
      <c r="AM6" s="17">
        <f t="shared" si="1"/>
        <v>179.60000000000002</v>
      </c>
      <c r="AN6" s="17">
        <f t="shared" si="1"/>
        <v>165.10000000000002</v>
      </c>
      <c r="AO6" s="20">
        <f t="shared" si="1"/>
        <v>709.90000000000009</v>
      </c>
      <c r="AP6" s="17">
        <f t="shared" si="1"/>
        <v>176.79999999999995</v>
      </c>
      <c r="AQ6" s="17">
        <f t="shared" si="1"/>
        <v>200.70000000000005</v>
      </c>
      <c r="AR6" s="17">
        <f t="shared" si="1"/>
        <v>209.10000000000002</v>
      </c>
      <c r="AS6" s="17">
        <f t="shared" si="1"/>
        <v>203.79999999999995</v>
      </c>
      <c r="AT6" s="20">
        <f t="shared" si="1"/>
        <v>790.40000000000055</v>
      </c>
      <c r="AU6" s="59">
        <f t="shared" si="1"/>
        <v>212.80000000000007</v>
      </c>
      <c r="AV6" s="17">
        <f t="shared" si="1"/>
        <v>224.49999999999989</v>
      </c>
      <c r="AW6" s="17">
        <f t="shared" si="1"/>
        <v>227.09999999999991</v>
      </c>
      <c r="AX6" s="17">
        <f t="shared" si="1"/>
        <v>212.39999999999998</v>
      </c>
      <c r="AY6" s="20">
        <f t="shared" si="1"/>
        <v>876.79999999999927</v>
      </c>
      <c r="AZ6" s="17">
        <f t="shared" si="1"/>
        <v>233.30000000000007</v>
      </c>
      <c r="BA6" s="17">
        <f t="shared" si="1"/>
        <v>240.69999999999982</v>
      </c>
      <c r="BB6" s="17">
        <f t="shared" si="1"/>
        <v>222.69999999999993</v>
      </c>
      <c r="BC6" s="17">
        <f t="shared" si="1"/>
        <v>216.70000000000027</v>
      </c>
      <c r="BD6" s="20">
        <f t="shared" si="1"/>
        <v>913.39999999999964</v>
      </c>
      <c r="BE6" s="51">
        <f t="shared" si="1"/>
        <v>226.49999999999989</v>
      </c>
      <c r="BF6" s="17">
        <f t="shared" si="1"/>
        <v>232.39999999999986</v>
      </c>
      <c r="BG6" s="17">
        <f t="shared" si="1"/>
        <v>223.19999999999982</v>
      </c>
      <c r="BH6" s="17">
        <f t="shared" si="1"/>
        <v>214.5</v>
      </c>
      <c r="BI6" s="20">
        <f t="shared" si="1"/>
        <v>896.59999999999945</v>
      </c>
      <c r="BJ6" s="51">
        <f t="shared" si="1"/>
        <v>223.29999999999995</v>
      </c>
      <c r="BK6" s="17">
        <f t="shared" si="1"/>
        <v>243.45000000000016</v>
      </c>
      <c r="BL6" s="17">
        <f t="shared" si="1"/>
        <v>232.29999999999984</v>
      </c>
      <c r="BM6" s="17">
        <f t="shared" si="1"/>
        <v>213</v>
      </c>
      <c r="BN6" s="20">
        <f t="shared" ref="BN6:CH6" si="2">+BN4-BN5</f>
        <v>912.09999999999945</v>
      </c>
      <c r="BO6" s="17">
        <f t="shared" si="2"/>
        <v>234.0999999999998</v>
      </c>
      <c r="BP6" s="17">
        <f t="shared" si="2"/>
        <v>260.20000000000016</v>
      </c>
      <c r="BQ6" s="17">
        <f t="shared" si="2"/>
        <v>269.5999999999998</v>
      </c>
      <c r="BR6" s="17">
        <f t="shared" si="2"/>
        <v>260.10000000000025</v>
      </c>
      <c r="BS6" s="20">
        <f t="shared" si="2"/>
        <v>1024</v>
      </c>
      <c r="BT6" s="17">
        <f t="shared" si="2"/>
        <v>220.70000000000005</v>
      </c>
      <c r="BU6" s="17">
        <f t="shared" si="2"/>
        <v>146.59999999999991</v>
      </c>
      <c r="BV6" s="17">
        <f t="shared" si="2"/>
        <v>269.70000000000005</v>
      </c>
      <c r="BW6" s="17">
        <f t="shared" si="2"/>
        <v>267.10000000000014</v>
      </c>
      <c r="BX6" s="87">
        <f t="shared" si="2"/>
        <v>904.10000000000036</v>
      </c>
      <c r="BY6" s="17">
        <f t="shared" si="2"/>
        <v>247.50000000000011</v>
      </c>
      <c r="BZ6" s="17">
        <f t="shared" si="2"/>
        <v>269.29999999999995</v>
      </c>
      <c r="CA6" s="17">
        <f t="shared" si="2"/>
        <v>256.10000000000014</v>
      </c>
      <c r="CB6" s="17">
        <f t="shared" si="2"/>
        <v>265.40000000000009</v>
      </c>
      <c r="CC6" s="87">
        <f t="shared" si="2"/>
        <v>1038.3000000000006</v>
      </c>
      <c r="CD6" s="17">
        <f t="shared" si="2"/>
        <v>267.29999999999995</v>
      </c>
      <c r="CE6" s="17">
        <f t="shared" si="2"/>
        <v>268.40000000000009</v>
      </c>
      <c r="CF6" s="17">
        <f t="shared" si="2"/>
        <v>230.5</v>
      </c>
      <c r="CG6" s="17">
        <f t="shared" si="2"/>
        <v>210.59999999999991</v>
      </c>
      <c r="CH6" s="87">
        <f t="shared" si="2"/>
        <v>976.79999999999927</v>
      </c>
      <c r="CI6" s="17">
        <f t="shared" ref="CI6:CK6" si="3">+CI4-CI5</f>
        <v>218.59999999999991</v>
      </c>
      <c r="CJ6" s="17">
        <f t="shared" si="3"/>
        <v>221.10000000000002</v>
      </c>
      <c r="CK6" s="17">
        <f t="shared" si="3"/>
        <v>214.30000000000007</v>
      </c>
      <c r="CL6" s="17">
        <f t="shared" ref="CL6" si="4">+CL4-CL5</f>
        <v>199.79999999999995</v>
      </c>
      <c r="CM6" s="87">
        <f>+CM4-CM5</f>
        <v>853.80000000000018</v>
      </c>
      <c r="CN6" s="17">
        <f t="shared" ref="CN6:CQ6" si="5">+CN4-CN5</f>
        <v>186.40000000000009</v>
      </c>
      <c r="CO6" s="17">
        <f t="shared" si="5"/>
        <v>186.49999999999989</v>
      </c>
      <c r="CP6" s="17">
        <f t="shared" si="5"/>
        <v>200.60000000000002</v>
      </c>
      <c r="CQ6" s="17">
        <f t="shared" si="5"/>
        <v>175.60000000000014</v>
      </c>
      <c r="CR6" s="87">
        <f>+CR4-CR5</f>
        <v>749.10000000000036</v>
      </c>
      <c r="CS6" s="17">
        <f t="shared" ref="CS6:CV6" si="6">+CS4-CS5</f>
        <v>190</v>
      </c>
      <c r="CT6" s="17">
        <f t="shared" si="6"/>
        <v>192.60000000000002</v>
      </c>
      <c r="CU6" s="17">
        <f t="shared" si="6"/>
        <v>193.70000000000005</v>
      </c>
      <c r="CV6" s="17">
        <f t="shared" si="6"/>
        <v>167.80000000000007</v>
      </c>
      <c r="CW6" s="87">
        <f>+CW4-CW5</f>
        <v>744.09999999999991</v>
      </c>
    </row>
    <row r="7" spans="1:101" x14ac:dyDescent="0.2">
      <c r="A7" s="7" t="s">
        <v>90</v>
      </c>
      <c r="B7" s="33">
        <f t="shared" ref="B7:AG7" si="7">+B6/B4</f>
        <v>0.17876241405653173</v>
      </c>
      <c r="C7" s="33">
        <f t="shared" si="7"/>
        <v>0.18776077885952713</v>
      </c>
      <c r="D7" s="33">
        <f t="shared" si="7"/>
        <v>0.19489018377409231</v>
      </c>
      <c r="E7" s="33">
        <f t="shared" si="7"/>
        <v>0.19060154041142632</v>
      </c>
      <c r="F7" s="34">
        <f t="shared" si="7"/>
        <v>0.18809908833110678</v>
      </c>
      <c r="G7" s="36">
        <f t="shared" si="7"/>
        <v>0.18757159221076738</v>
      </c>
      <c r="H7" s="36">
        <f t="shared" si="7"/>
        <v>0.19336758524054179</v>
      </c>
      <c r="I7" s="36">
        <f t="shared" si="7"/>
        <v>0.1973997436366966</v>
      </c>
      <c r="J7" s="36">
        <f t="shared" si="7"/>
        <v>0.16995287102048673</v>
      </c>
      <c r="K7" s="37">
        <f t="shared" si="7"/>
        <v>0.18724705882352946</v>
      </c>
      <c r="L7" s="36">
        <f t="shared" si="7"/>
        <v>0.17740158269057391</v>
      </c>
      <c r="M7" s="36">
        <f t="shared" si="7"/>
        <v>0.1847427335151913</v>
      </c>
      <c r="N7" s="36">
        <f t="shared" si="7"/>
        <v>0.18291821232997704</v>
      </c>
      <c r="O7" s="36">
        <f t="shared" si="7"/>
        <v>0.12532577903682723</v>
      </c>
      <c r="P7" s="37">
        <f t="shared" si="7"/>
        <v>0.16957385736365629</v>
      </c>
      <c r="Q7" s="36">
        <f t="shared" si="7"/>
        <v>0.17407046372371535</v>
      </c>
      <c r="R7" s="36">
        <f t="shared" si="7"/>
        <v>0.19434908898864528</v>
      </c>
      <c r="S7" s="36">
        <f t="shared" si="7"/>
        <v>0.23126311890356829</v>
      </c>
      <c r="T7" s="36">
        <f t="shared" si="7"/>
        <v>0.22112511368065485</v>
      </c>
      <c r="U7" s="37">
        <f t="shared" si="7"/>
        <v>0.20611436614186121</v>
      </c>
      <c r="V7" s="36">
        <f t="shared" si="7"/>
        <v>0.20271925526702597</v>
      </c>
      <c r="W7" s="36">
        <f t="shared" si="7"/>
        <v>0.20553585725723428</v>
      </c>
      <c r="X7" s="36">
        <f t="shared" si="7"/>
        <v>0.19469128678592043</v>
      </c>
      <c r="Y7" s="36">
        <f t="shared" si="7"/>
        <v>0.17645591719665793</v>
      </c>
      <c r="Z7" s="37">
        <f t="shared" si="7"/>
        <v>0.19511178589503145</v>
      </c>
      <c r="AA7" s="36">
        <f t="shared" si="7"/>
        <v>0.18977450323732978</v>
      </c>
      <c r="AB7" s="36">
        <f t="shared" si="7"/>
        <v>0.19244604316546771</v>
      </c>
      <c r="AC7" s="36">
        <f t="shared" si="7"/>
        <v>0.18110319906472525</v>
      </c>
      <c r="AD7" s="36">
        <f t="shared" si="7"/>
        <v>0.16742770167427701</v>
      </c>
      <c r="AE7" s="37">
        <f t="shared" si="7"/>
        <v>0.18297579757975801</v>
      </c>
      <c r="AF7" s="36">
        <f t="shared" si="7"/>
        <v>0.19166190748143913</v>
      </c>
      <c r="AG7" s="36">
        <f t="shared" si="7"/>
        <v>0.20269802836388789</v>
      </c>
      <c r="AH7" s="36">
        <f t="shared" ref="AH7:BM7" si="8">+AH6/AH4</f>
        <v>0.20790358094796613</v>
      </c>
      <c r="AI7" s="36">
        <f t="shared" si="8"/>
        <v>0.21340257171117696</v>
      </c>
      <c r="AJ7" s="37">
        <f t="shared" si="8"/>
        <v>0.20371943183482219</v>
      </c>
      <c r="AK7" s="36">
        <f t="shared" si="8"/>
        <v>0.20899163568773232</v>
      </c>
      <c r="AL7" s="36">
        <f t="shared" si="8"/>
        <v>0.21066393815370629</v>
      </c>
      <c r="AM7" s="36">
        <f t="shared" si="8"/>
        <v>0.20464904284412036</v>
      </c>
      <c r="AN7" s="36">
        <f t="shared" si="8"/>
        <v>0.19215549348230915</v>
      </c>
      <c r="AO7" s="37">
        <f t="shared" si="8"/>
        <v>0.2041585183480962</v>
      </c>
      <c r="AP7" s="36">
        <f t="shared" si="8"/>
        <v>0.20194174757281549</v>
      </c>
      <c r="AQ7" s="36">
        <f t="shared" si="8"/>
        <v>0.20991528082836527</v>
      </c>
      <c r="AR7" s="36">
        <f t="shared" si="8"/>
        <v>0.2096450772007219</v>
      </c>
      <c r="AS7" s="36">
        <f t="shared" si="8"/>
        <v>0.21378369873072481</v>
      </c>
      <c r="AT7" s="37">
        <f t="shared" si="8"/>
        <v>0.20897337598815549</v>
      </c>
      <c r="AU7" s="36">
        <f t="shared" si="8"/>
        <v>0.22024425584765064</v>
      </c>
      <c r="AV7" s="36">
        <f t="shared" si="8"/>
        <v>0.22510779103579653</v>
      </c>
      <c r="AW7" s="36">
        <f t="shared" si="8"/>
        <v>0.22505202655831921</v>
      </c>
      <c r="AX7" s="36">
        <f t="shared" si="8"/>
        <v>0.22485708236290491</v>
      </c>
      <c r="AY7" s="68">
        <f t="shared" si="8"/>
        <v>0.22383335035229227</v>
      </c>
      <c r="AZ7" s="75">
        <f t="shared" si="8"/>
        <v>0.24861466325660708</v>
      </c>
      <c r="BA7" s="75">
        <f t="shared" si="8"/>
        <v>0.25101679007195726</v>
      </c>
      <c r="BB7" s="75">
        <f t="shared" si="8"/>
        <v>0.23469280219201175</v>
      </c>
      <c r="BC7" s="75">
        <f t="shared" si="8"/>
        <v>0.23979196636051817</v>
      </c>
      <c r="BD7" s="68">
        <f t="shared" si="8"/>
        <v>0.24357982879543447</v>
      </c>
      <c r="BE7" s="75">
        <f t="shared" si="8"/>
        <v>0.2358637925648234</v>
      </c>
      <c r="BF7" s="75">
        <f t="shared" si="8"/>
        <v>0.23491357525523085</v>
      </c>
      <c r="BG7" s="75">
        <f t="shared" si="8"/>
        <v>0.22105575913637696</v>
      </c>
      <c r="BH7" s="75">
        <f t="shared" si="8"/>
        <v>0.21787709497206703</v>
      </c>
      <c r="BI7" s="68">
        <f t="shared" si="8"/>
        <v>0.22734418581063934</v>
      </c>
      <c r="BJ7" s="75">
        <f t="shared" si="8"/>
        <v>0.21704898911353029</v>
      </c>
      <c r="BK7" s="75">
        <f t="shared" si="8"/>
        <v>0.22082634133067272</v>
      </c>
      <c r="BL7" s="75">
        <f t="shared" si="8"/>
        <v>0.21282638570774148</v>
      </c>
      <c r="BM7" s="75">
        <f t="shared" si="8"/>
        <v>0.20349670392662653</v>
      </c>
      <c r="BN7" s="68">
        <f t="shared" ref="BN7:CG7" si="9">+BN6/BN4</f>
        <v>0.21363157278369821</v>
      </c>
      <c r="BO7" s="75">
        <f t="shared" si="9"/>
        <v>0.20266643580642352</v>
      </c>
      <c r="BP7" s="75">
        <f t="shared" si="9"/>
        <v>0.21447411803494901</v>
      </c>
      <c r="BQ7" s="75">
        <f t="shared" si="9"/>
        <v>0.21754216089728057</v>
      </c>
      <c r="BR7" s="75">
        <f t="shared" si="9"/>
        <v>0.22718141322386254</v>
      </c>
      <c r="BS7" s="68">
        <f t="shared" si="9"/>
        <v>0.21546554445028931</v>
      </c>
      <c r="BT7" s="75">
        <f t="shared" si="9"/>
        <v>0.21109516977522721</v>
      </c>
      <c r="BU7" s="75">
        <f t="shared" si="9"/>
        <v>0.17347059519583469</v>
      </c>
      <c r="BV7" s="75">
        <f t="shared" si="9"/>
        <v>0.22333554157005636</v>
      </c>
      <c r="BW7" s="75">
        <f t="shared" si="9"/>
        <v>0.22597292724196288</v>
      </c>
      <c r="BX7" s="68">
        <f t="shared" si="9"/>
        <v>0.21122844726881931</v>
      </c>
      <c r="BY7" s="75">
        <f t="shared" si="9"/>
        <v>0.2150490920149449</v>
      </c>
      <c r="BZ7" s="75">
        <f t="shared" si="9"/>
        <v>0.21211405166981726</v>
      </c>
      <c r="CA7" s="75">
        <f t="shared" si="9"/>
        <v>0.19413280776228026</v>
      </c>
      <c r="CB7" s="75">
        <f t="shared" si="9"/>
        <v>0.19911471228149155</v>
      </c>
      <c r="CC7" s="68">
        <f t="shared" si="9"/>
        <v>0.20468793123841827</v>
      </c>
      <c r="CD7" s="75">
        <f t="shared" si="9"/>
        <v>0.2021477728200862</v>
      </c>
      <c r="CE7" s="75">
        <f t="shared" si="9"/>
        <v>0.20116923999400396</v>
      </c>
      <c r="CF7" s="75">
        <f t="shared" si="9"/>
        <v>0.17807478368355995</v>
      </c>
      <c r="CG7" s="75">
        <f t="shared" si="9"/>
        <v>0.17611640742599091</v>
      </c>
      <c r="CH7" s="68">
        <f t="shared" ref="CH7:CK7" si="10">+CH6/CH4</f>
        <v>0.1897915168943205</v>
      </c>
      <c r="CI7" s="75">
        <f t="shared" si="10"/>
        <v>0.18012524719841788</v>
      </c>
      <c r="CJ7" s="75">
        <f t="shared" si="10"/>
        <v>0.18105142482803802</v>
      </c>
      <c r="CK7" s="75">
        <f t="shared" si="10"/>
        <v>0.1823209120299473</v>
      </c>
      <c r="CL7" s="75">
        <f t="shared" ref="CL7" si="11">+CL6/CL4</f>
        <v>0.17917675544794187</v>
      </c>
      <c r="CM7" s="68">
        <f t="shared" ref="CM7:CQ7" si="12">+CM6/CM4</f>
        <v>0.18068694051171358</v>
      </c>
      <c r="CN7" s="75">
        <f t="shared" si="12"/>
        <v>0.1699334488102836</v>
      </c>
      <c r="CO7" s="75">
        <f t="shared" si="12"/>
        <v>0.16524898103845465</v>
      </c>
      <c r="CP7" s="75">
        <f t="shared" si="12"/>
        <v>0.18208223654352365</v>
      </c>
      <c r="CQ7" s="75">
        <f t="shared" si="12"/>
        <v>0.16622491480499821</v>
      </c>
      <c r="CR7" s="68">
        <f t="shared" ref="CR7:CV7" si="13">+CR6/CR4</f>
        <v>0.17088694223925546</v>
      </c>
      <c r="CS7" s="75">
        <f t="shared" si="13"/>
        <v>0.18589179140984247</v>
      </c>
      <c r="CT7" s="75">
        <f t="shared" si="13"/>
        <v>0.18204158790170136</v>
      </c>
      <c r="CU7" s="75">
        <f t="shared" si="13"/>
        <v>0.18689695098417602</v>
      </c>
      <c r="CV7" s="75">
        <f t="shared" si="13"/>
        <v>0.1787769017685916</v>
      </c>
      <c r="CW7" s="68">
        <f t="shared" ref="CW7" si="14">+CW6/CW4</f>
        <v>0.18349732435698254</v>
      </c>
    </row>
    <row r="8" spans="1:101" x14ac:dyDescent="0.2">
      <c r="A8" s="1" t="s">
        <v>91</v>
      </c>
      <c r="B8" s="26">
        <v>99.1</v>
      </c>
      <c r="C8" s="26">
        <v>102.4</v>
      </c>
      <c r="D8" s="26">
        <v>97.6</v>
      </c>
      <c r="E8" s="26">
        <v>96.2</v>
      </c>
      <c r="F8" s="21">
        <f>SUM(B8:E8)</f>
        <v>395.3</v>
      </c>
      <c r="G8" s="26">
        <v>100.4</v>
      </c>
      <c r="H8" s="26">
        <v>113.4</v>
      </c>
      <c r="I8" s="26">
        <v>105.9</v>
      </c>
      <c r="J8" s="26">
        <v>110</v>
      </c>
      <c r="K8" s="21">
        <f>SUM(G8:J8)</f>
        <v>429.70000000000005</v>
      </c>
      <c r="L8" s="26">
        <v>103.9</v>
      </c>
      <c r="M8" s="26">
        <v>107.6</v>
      </c>
      <c r="N8" s="26">
        <v>105.5</v>
      </c>
      <c r="O8" s="26">
        <v>106.2</v>
      </c>
      <c r="P8" s="21">
        <f>SUM(L8:O8)</f>
        <v>423.2</v>
      </c>
      <c r="Q8" s="26">
        <v>101.9</v>
      </c>
      <c r="R8" s="26">
        <v>89</v>
      </c>
      <c r="S8" s="26">
        <v>84.8</v>
      </c>
      <c r="T8" s="26">
        <v>87.3</v>
      </c>
      <c r="U8" s="21">
        <f>SUM(Q8:T8)</f>
        <v>363</v>
      </c>
      <c r="V8" s="26">
        <v>92.3</v>
      </c>
      <c r="W8" s="26">
        <v>88.8</v>
      </c>
      <c r="X8" s="26">
        <v>87.6</v>
      </c>
      <c r="Y8" s="26">
        <v>85.6</v>
      </c>
      <c r="Z8" s="21">
        <f>SUM(V8:Y8)</f>
        <v>354.29999999999995</v>
      </c>
      <c r="AA8" s="26">
        <v>95.8</v>
      </c>
      <c r="AB8" s="26">
        <v>98.1</v>
      </c>
      <c r="AC8" s="26">
        <v>93.9</v>
      </c>
      <c r="AD8" s="26">
        <v>94.3</v>
      </c>
      <c r="AE8" s="21">
        <f>SUM(AA8:AD8)</f>
        <v>382.09999999999997</v>
      </c>
      <c r="AF8" s="26">
        <v>89.5</v>
      </c>
      <c r="AG8" s="26">
        <v>84.3</v>
      </c>
      <c r="AH8" s="26">
        <v>86.5</v>
      </c>
      <c r="AI8" s="26">
        <v>87.8</v>
      </c>
      <c r="AJ8" s="21">
        <f>SUM(AF8:AI8)</f>
        <v>348.1</v>
      </c>
      <c r="AK8" s="26">
        <v>99.4</v>
      </c>
      <c r="AL8" s="26">
        <v>92</v>
      </c>
      <c r="AM8" s="26">
        <v>85.4</v>
      </c>
      <c r="AN8" s="26">
        <v>91.1</v>
      </c>
      <c r="AO8" s="21">
        <f>SUM(AK8:AN8)</f>
        <v>367.9</v>
      </c>
      <c r="AP8" s="26">
        <v>92.1</v>
      </c>
      <c r="AQ8" s="26">
        <v>94.1</v>
      </c>
      <c r="AR8" s="26">
        <v>131.4</v>
      </c>
      <c r="AS8" s="26">
        <v>132</v>
      </c>
      <c r="AT8" s="21">
        <f>SUM(AP8:AS8)</f>
        <v>449.6</v>
      </c>
      <c r="AU8" s="62">
        <v>97.5</v>
      </c>
      <c r="AV8" s="26">
        <v>106.6</v>
      </c>
      <c r="AW8" s="26">
        <v>96.9</v>
      </c>
      <c r="AX8" s="26">
        <v>115.9</v>
      </c>
      <c r="AY8" s="21">
        <f>SUM(AU8:AX8)</f>
        <v>416.9</v>
      </c>
      <c r="AZ8" s="26">
        <v>105.1</v>
      </c>
      <c r="BA8" s="26">
        <v>99.7</v>
      </c>
      <c r="BB8" s="26">
        <v>93.9</v>
      </c>
      <c r="BC8" s="26">
        <v>97</v>
      </c>
      <c r="BD8" s="21">
        <f>SUM(AZ8:BC8)</f>
        <v>395.70000000000005</v>
      </c>
      <c r="BE8" s="26">
        <v>106.1</v>
      </c>
      <c r="BF8" s="26">
        <v>104.7</v>
      </c>
      <c r="BG8" s="26">
        <v>95.4</v>
      </c>
      <c r="BH8" s="26">
        <v>94.3</v>
      </c>
      <c r="BI8" s="21">
        <f>SUM(BE8:BH8)</f>
        <v>400.50000000000006</v>
      </c>
      <c r="BJ8" s="26">
        <v>104.7</v>
      </c>
      <c r="BK8" s="26">
        <v>107.8</v>
      </c>
      <c r="BL8" s="26">
        <v>100.7</v>
      </c>
      <c r="BM8" s="26">
        <v>111.9</v>
      </c>
      <c r="BN8" s="21">
        <f>SUM(BJ8:BM8)</f>
        <v>425.1</v>
      </c>
      <c r="BO8" s="26">
        <v>118.6</v>
      </c>
      <c r="BP8" s="26">
        <v>118.3</v>
      </c>
      <c r="BQ8" s="26">
        <v>115.2</v>
      </c>
      <c r="BR8" s="26">
        <v>117.6</v>
      </c>
      <c r="BS8" s="21">
        <f>SUM(BO8:BR8)</f>
        <v>469.69999999999993</v>
      </c>
      <c r="BT8" s="26">
        <v>117.8</v>
      </c>
      <c r="BU8" s="26">
        <v>97.2</v>
      </c>
      <c r="BV8" s="26">
        <v>105.6</v>
      </c>
      <c r="BW8" s="26">
        <v>103.8</v>
      </c>
      <c r="BX8" s="88">
        <f>SUM(BT8:BW8)</f>
        <v>424.40000000000003</v>
      </c>
      <c r="BY8" s="26">
        <v>106.3</v>
      </c>
      <c r="BZ8" s="26">
        <f>112.6</f>
        <v>112.6</v>
      </c>
      <c r="CA8" s="26">
        <v>103.6</v>
      </c>
      <c r="CB8" s="26">
        <v>99.6</v>
      </c>
      <c r="CC8" s="88">
        <f>SUM(BY8:CB8)</f>
        <v>422.1</v>
      </c>
      <c r="CD8" s="26">
        <v>111.7</v>
      </c>
      <c r="CE8" s="26">
        <v>105.4</v>
      </c>
      <c r="CF8" s="26">
        <v>100.4</v>
      </c>
      <c r="CG8" s="26">
        <v>109.8</v>
      </c>
      <c r="CH8" s="88">
        <f>SUM(CD8:CG8)</f>
        <v>427.3</v>
      </c>
      <c r="CI8" s="26">
        <v>116</v>
      </c>
      <c r="CJ8" s="26">
        <v>119.2</v>
      </c>
      <c r="CK8" s="26">
        <v>109.1</v>
      </c>
      <c r="CL8" s="26">
        <v>121.1</v>
      </c>
      <c r="CM8" s="88">
        <f>SUM(CI8:CL8)</f>
        <v>465.4</v>
      </c>
      <c r="CN8" s="26">
        <v>125.9</v>
      </c>
      <c r="CO8" s="26">
        <v>131.5</v>
      </c>
      <c r="CP8" s="26">
        <v>127</v>
      </c>
      <c r="CQ8" s="26">
        <v>124.4</v>
      </c>
      <c r="CR8" s="88">
        <f>SUM(CN8:CQ8)</f>
        <v>508.79999999999995</v>
      </c>
      <c r="CS8" s="26">
        <v>123.6</v>
      </c>
      <c r="CT8" s="26">
        <v>118.4</v>
      </c>
      <c r="CU8" s="26">
        <v>124.5</v>
      </c>
      <c r="CV8" s="26">
        <v>121.8</v>
      </c>
      <c r="CW8" s="88">
        <f>SUM(CS8:CV8)</f>
        <v>488.3</v>
      </c>
    </row>
    <row r="9" spans="1:101" x14ac:dyDescent="0.2">
      <c r="A9" s="6" t="s">
        <v>92</v>
      </c>
      <c r="B9" s="17">
        <f t="shared" ref="B9:AG9" si="15">+B6-B8</f>
        <v>88.100000000000051</v>
      </c>
      <c r="C9" s="17">
        <f t="shared" si="15"/>
        <v>100.1</v>
      </c>
      <c r="D9" s="17">
        <f t="shared" si="15"/>
        <v>119.79999999999998</v>
      </c>
      <c r="E9" s="17">
        <f t="shared" si="15"/>
        <v>99.3</v>
      </c>
      <c r="F9" s="20">
        <f t="shared" si="15"/>
        <v>407.29999999999944</v>
      </c>
      <c r="G9" s="17">
        <f t="shared" si="15"/>
        <v>96.099999999999881</v>
      </c>
      <c r="H9" s="17">
        <f t="shared" si="15"/>
        <v>93.6</v>
      </c>
      <c r="I9" s="17">
        <f t="shared" si="15"/>
        <v>109.70000000000002</v>
      </c>
      <c r="J9" s="17">
        <f t="shared" si="15"/>
        <v>66.700000000000045</v>
      </c>
      <c r="K9" s="20">
        <f t="shared" si="15"/>
        <v>366.10000000000014</v>
      </c>
      <c r="L9" s="17">
        <f t="shared" si="15"/>
        <v>73.199999999999903</v>
      </c>
      <c r="M9" s="17">
        <f t="shared" si="15"/>
        <v>88.799999999999869</v>
      </c>
      <c r="N9" s="17">
        <f t="shared" si="15"/>
        <v>101.60000000000002</v>
      </c>
      <c r="O9" s="17">
        <f t="shared" si="15"/>
        <v>4.4000000000000199</v>
      </c>
      <c r="P9" s="20">
        <f t="shared" si="15"/>
        <v>267.99999999999937</v>
      </c>
      <c r="Q9" s="17">
        <f t="shared" si="15"/>
        <v>23.099999999999994</v>
      </c>
      <c r="R9" s="17">
        <f t="shared" si="15"/>
        <v>58.199999999999932</v>
      </c>
      <c r="S9" s="17">
        <f t="shared" si="15"/>
        <v>102.49999999999996</v>
      </c>
      <c r="T9" s="17">
        <f t="shared" si="15"/>
        <v>82.900000000000048</v>
      </c>
      <c r="U9" s="20">
        <f t="shared" si="15"/>
        <v>266.70000000000027</v>
      </c>
      <c r="V9" s="17">
        <f t="shared" si="15"/>
        <v>73.2</v>
      </c>
      <c r="W9" s="17">
        <f t="shared" si="15"/>
        <v>90.899999999999935</v>
      </c>
      <c r="X9" s="17">
        <f t="shared" si="15"/>
        <v>81.100000000000051</v>
      </c>
      <c r="Y9" s="17">
        <f t="shared" si="15"/>
        <v>55.900000000000006</v>
      </c>
      <c r="Z9" s="20">
        <f t="shared" si="15"/>
        <v>301.10000000000014</v>
      </c>
      <c r="AA9" s="17">
        <f t="shared" si="15"/>
        <v>74.2</v>
      </c>
      <c r="AB9" s="17">
        <f t="shared" si="15"/>
        <v>83.800000000000097</v>
      </c>
      <c r="AC9" s="17">
        <f t="shared" si="15"/>
        <v>76.499999999999972</v>
      </c>
      <c r="AD9" s="17">
        <f t="shared" si="15"/>
        <v>48.7</v>
      </c>
      <c r="AE9" s="20">
        <f t="shared" si="15"/>
        <v>283.20000000000022</v>
      </c>
      <c r="AF9" s="17">
        <f t="shared" si="15"/>
        <v>78.299999999999955</v>
      </c>
      <c r="AG9" s="17">
        <f t="shared" si="15"/>
        <v>91.499999999999957</v>
      </c>
      <c r="AH9" s="17">
        <f t="shared" ref="AH9:BM9" si="16">+AH6-AH8</f>
        <v>92.899999999999977</v>
      </c>
      <c r="AI9" s="17">
        <f t="shared" si="16"/>
        <v>84.799999999999912</v>
      </c>
      <c r="AJ9" s="20">
        <f t="shared" si="16"/>
        <v>347.50000000000034</v>
      </c>
      <c r="AK9" s="17">
        <f t="shared" si="16"/>
        <v>80.499999999999972</v>
      </c>
      <c r="AL9" s="17">
        <f t="shared" si="16"/>
        <v>93.300000000000068</v>
      </c>
      <c r="AM9" s="17">
        <f t="shared" si="16"/>
        <v>94.200000000000017</v>
      </c>
      <c r="AN9" s="17">
        <f t="shared" si="16"/>
        <v>74.000000000000028</v>
      </c>
      <c r="AO9" s="20">
        <f t="shared" si="16"/>
        <v>342.00000000000011</v>
      </c>
      <c r="AP9" s="17">
        <f t="shared" si="16"/>
        <v>84.69999999999996</v>
      </c>
      <c r="AQ9" s="17">
        <f t="shared" si="16"/>
        <v>106.60000000000005</v>
      </c>
      <c r="AR9" s="17">
        <f t="shared" si="16"/>
        <v>77.700000000000017</v>
      </c>
      <c r="AS9" s="17">
        <f t="shared" si="16"/>
        <v>71.799999999999955</v>
      </c>
      <c r="AT9" s="20">
        <f t="shared" si="16"/>
        <v>340.80000000000052</v>
      </c>
      <c r="AU9" s="59">
        <f t="shared" si="16"/>
        <v>115.30000000000007</v>
      </c>
      <c r="AV9" s="17">
        <f t="shared" si="16"/>
        <v>117.89999999999989</v>
      </c>
      <c r="AW9" s="17">
        <f t="shared" si="16"/>
        <v>130.1999999999999</v>
      </c>
      <c r="AX9" s="17">
        <f t="shared" si="16"/>
        <v>96.499999999999972</v>
      </c>
      <c r="AY9" s="20">
        <f t="shared" si="16"/>
        <v>459.8999999999993</v>
      </c>
      <c r="AZ9" s="17">
        <f t="shared" si="16"/>
        <v>128.20000000000007</v>
      </c>
      <c r="BA9" s="17">
        <f t="shared" si="16"/>
        <v>140.99999999999983</v>
      </c>
      <c r="BB9" s="17">
        <f t="shared" si="16"/>
        <v>128.79999999999993</v>
      </c>
      <c r="BC9" s="17">
        <f t="shared" si="16"/>
        <v>119.70000000000027</v>
      </c>
      <c r="BD9" s="20">
        <f t="shared" si="16"/>
        <v>517.69999999999959</v>
      </c>
      <c r="BE9" s="51">
        <f t="shared" si="16"/>
        <v>120.39999999999989</v>
      </c>
      <c r="BF9" s="17">
        <f t="shared" si="16"/>
        <v>127.69999999999986</v>
      </c>
      <c r="BG9" s="17">
        <f t="shared" si="16"/>
        <v>127.79999999999981</v>
      </c>
      <c r="BH9" s="17">
        <f t="shared" si="16"/>
        <v>120.2</v>
      </c>
      <c r="BI9" s="20">
        <f t="shared" si="16"/>
        <v>496.0999999999994</v>
      </c>
      <c r="BJ9" s="51">
        <f t="shared" si="16"/>
        <v>118.59999999999995</v>
      </c>
      <c r="BK9" s="17">
        <f t="shared" si="16"/>
        <v>135.65000000000015</v>
      </c>
      <c r="BL9" s="17">
        <f t="shared" si="16"/>
        <v>131.59999999999985</v>
      </c>
      <c r="BM9" s="17">
        <f t="shared" si="16"/>
        <v>101.1</v>
      </c>
      <c r="BN9" s="20">
        <f t="shared" ref="BN9:CG9" si="17">+BN6-BN8</f>
        <v>486.99999999999943</v>
      </c>
      <c r="BO9" s="17">
        <f t="shared" si="17"/>
        <v>115.4999999999998</v>
      </c>
      <c r="BP9" s="17">
        <f t="shared" si="17"/>
        <v>141.90000000000015</v>
      </c>
      <c r="BQ9" s="17">
        <f t="shared" si="17"/>
        <v>154.39999999999981</v>
      </c>
      <c r="BR9" s="17">
        <f t="shared" si="17"/>
        <v>142.50000000000026</v>
      </c>
      <c r="BS9" s="20">
        <f t="shared" si="17"/>
        <v>554.30000000000007</v>
      </c>
      <c r="BT9" s="17">
        <f t="shared" si="17"/>
        <v>102.90000000000005</v>
      </c>
      <c r="BU9" s="17">
        <f t="shared" si="17"/>
        <v>49.399999999999906</v>
      </c>
      <c r="BV9" s="17">
        <f t="shared" si="17"/>
        <v>164.10000000000005</v>
      </c>
      <c r="BW9" s="17">
        <f t="shared" si="17"/>
        <v>163.30000000000013</v>
      </c>
      <c r="BX9" s="87">
        <f t="shared" si="17"/>
        <v>479.70000000000033</v>
      </c>
      <c r="BY9" s="17">
        <f t="shared" si="17"/>
        <v>141.2000000000001</v>
      </c>
      <c r="BZ9" s="17">
        <f t="shared" si="17"/>
        <v>156.69999999999996</v>
      </c>
      <c r="CA9" s="17">
        <f t="shared" si="17"/>
        <v>152.50000000000014</v>
      </c>
      <c r="CB9" s="17">
        <f t="shared" si="17"/>
        <v>165.8000000000001</v>
      </c>
      <c r="CC9" s="87">
        <f t="shared" si="17"/>
        <v>616.20000000000061</v>
      </c>
      <c r="CD9" s="17">
        <f t="shared" si="17"/>
        <v>155.59999999999997</v>
      </c>
      <c r="CE9" s="17">
        <f t="shared" si="17"/>
        <v>163.00000000000009</v>
      </c>
      <c r="CF9" s="17">
        <f t="shared" si="17"/>
        <v>130.1</v>
      </c>
      <c r="CG9" s="17">
        <f t="shared" si="17"/>
        <v>100.79999999999991</v>
      </c>
      <c r="CH9" s="87">
        <f t="shared" ref="CH9:CR9" si="18">+CH6-CH8</f>
        <v>549.49999999999932</v>
      </c>
      <c r="CI9" s="17">
        <f t="shared" si="18"/>
        <v>102.59999999999991</v>
      </c>
      <c r="CJ9" s="17">
        <f t="shared" si="18"/>
        <v>101.90000000000002</v>
      </c>
      <c r="CK9" s="17">
        <f t="shared" si="18"/>
        <v>105.20000000000007</v>
      </c>
      <c r="CL9" s="17">
        <f t="shared" si="18"/>
        <v>78.69999999999996</v>
      </c>
      <c r="CM9" s="87">
        <f t="shared" ref="CM9" si="19">+CM6-CM8</f>
        <v>388.4000000000002</v>
      </c>
      <c r="CN9" s="17">
        <f t="shared" si="18"/>
        <v>60.500000000000085</v>
      </c>
      <c r="CO9" s="17">
        <f t="shared" si="18"/>
        <v>54.999999999999886</v>
      </c>
      <c r="CP9" s="17">
        <f t="shared" si="18"/>
        <v>73.600000000000023</v>
      </c>
      <c r="CQ9" s="17">
        <f t="shared" si="18"/>
        <v>51.200000000000131</v>
      </c>
      <c r="CR9" s="87">
        <f t="shared" si="18"/>
        <v>240.30000000000041</v>
      </c>
      <c r="CS9" s="17">
        <f t="shared" ref="CS9:CW9" si="20">+CS6-CS8</f>
        <v>66.400000000000006</v>
      </c>
      <c r="CT9" s="17">
        <f t="shared" si="20"/>
        <v>74.200000000000017</v>
      </c>
      <c r="CU9" s="17">
        <f t="shared" si="20"/>
        <v>69.200000000000045</v>
      </c>
      <c r="CV9" s="17">
        <f t="shared" si="20"/>
        <v>46.000000000000071</v>
      </c>
      <c r="CW9" s="87">
        <f t="shared" si="20"/>
        <v>255.7999999999999</v>
      </c>
    </row>
    <row r="10" spans="1:101" ht="6" customHeight="1" x14ac:dyDescent="0.2">
      <c r="A10" s="6"/>
      <c r="B10" s="17"/>
      <c r="C10" s="17"/>
      <c r="D10" s="17"/>
      <c r="E10" s="17"/>
      <c r="F10" s="20"/>
      <c r="G10" s="17"/>
      <c r="H10" s="17"/>
      <c r="I10" s="17"/>
      <c r="J10" s="17"/>
      <c r="K10" s="20"/>
      <c r="L10" s="17"/>
      <c r="M10" s="17"/>
      <c r="N10" s="17"/>
      <c r="O10" s="17"/>
      <c r="P10" s="20"/>
      <c r="Q10" s="17"/>
      <c r="R10" s="17"/>
      <c r="S10" s="17"/>
      <c r="T10" s="17"/>
      <c r="U10" s="20"/>
      <c r="V10" s="17"/>
      <c r="W10" s="17"/>
      <c r="X10" s="17"/>
      <c r="Y10" s="17"/>
      <c r="Z10" s="20"/>
      <c r="AA10" s="17"/>
      <c r="AB10" s="17"/>
      <c r="AC10" s="17"/>
      <c r="AD10" s="17"/>
      <c r="AE10" s="20"/>
      <c r="AF10" s="17"/>
      <c r="AG10" s="17"/>
      <c r="AH10" s="17"/>
      <c r="AI10" s="17"/>
      <c r="AJ10" s="20"/>
      <c r="AK10" s="17"/>
      <c r="AL10" s="17"/>
      <c r="AM10" s="17"/>
      <c r="AN10" s="17"/>
      <c r="AO10" s="20"/>
      <c r="AP10" s="17"/>
      <c r="AQ10" s="17"/>
      <c r="AR10" s="17"/>
      <c r="AS10" s="17"/>
      <c r="AT10" s="20"/>
      <c r="AU10" s="17"/>
      <c r="AV10" s="17"/>
      <c r="AW10" s="17"/>
      <c r="AX10" s="17"/>
      <c r="AY10" s="64"/>
      <c r="AZ10" s="17"/>
      <c r="BA10" s="17"/>
      <c r="BB10" s="17"/>
      <c r="BC10" s="17"/>
      <c r="BD10" s="20"/>
      <c r="BE10" s="17"/>
      <c r="BF10" s="17"/>
      <c r="BG10" s="17"/>
      <c r="BH10" s="17"/>
      <c r="BI10" s="64"/>
      <c r="BJ10" s="17"/>
      <c r="BK10" s="17"/>
      <c r="BL10" s="17"/>
      <c r="BM10" s="17"/>
      <c r="BN10" s="64"/>
      <c r="BO10" s="17"/>
      <c r="BP10" s="17"/>
      <c r="BQ10" s="17"/>
      <c r="BR10" s="17"/>
      <c r="BS10" s="61"/>
      <c r="BT10" s="17"/>
      <c r="BU10" s="17"/>
      <c r="BV10" s="17"/>
      <c r="BW10" s="17"/>
      <c r="BX10" s="65"/>
      <c r="BY10" s="17"/>
      <c r="BZ10" s="17"/>
      <c r="CA10" s="17"/>
      <c r="CB10" s="17"/>
      <c r="CC10" s="65"/>
      <c r="CD10" s="17"/>
      <c r="CE10" s="17"/>
      <c r="CF10" s="17"/>
      <c r="CG10" s="17"/>
      <c r="CH10" s="65"/>
      <c r="CI10" s="17"/>
      <c r="CJ10" s="17"/>
      <c r="CK10" s="17"/>
      <c r="CL10" s="17"/>
      <c r="CM10" s="65"/>
      <c r="CN10" s="17"/>
      <c r="CO10" s="17"/>
      <c r="CP10" s="17"/>
      <c r="CQ10" s="17"/>
      <c r="CR10" s="65"/>
      <c r="CS10" s="17"/>
      <c r="CT10" s="17"/>
      <c r="CU10" s="17"/>
      <c r="CV10" s="17"/>
      <c r="CW10" s="65"/>
    </row>
    <row r="11" spans="1:101" x14ac:dyDescent="0.2">
      <c r="A11" s="6" t="s">
        <v>93</v>
      </c>
      <c r="B11" s="17">
        <v>3.5</v>
      </c>
      <c r="C11" s="17">
        <v>4.4000000000000004</v>
      </c>
      <c r="D11" s="17">
        <v>3.4</v>
      </c>
      <c r="E11" s="17">
        <v>4.4000000000000004</v>
      </c>
      <c r="F11" s="20">
        <f>SUM(B11:E11)</f>
        <v>15.700000000000001</v>
      </c>
      <c r="G11" s="17">
        <v>4.9000000000000004</v>
      </c>
      <c r="H11" s="17">
        <v>6.4</v>
      </c>
      <c r="I11" s="17">
        <v>5.3</v>
      </c>
      <c r="J11" s="17">
        <v>6.7</v>
      </c>
      <c r="K11" s="20">
        <f>SUM(G11:J11)</f>
        <v>23.3</v>
      </c>
      <c r="L11" s="17">
        <v>6</v>
      </c>
      <c r="M11" s="17">
        <v>6.3</v>
      </c>
      <c r="N11" s="17">
        <v>6.2</v>
      </c>
      <c r="O11" s="17">
        <v>6</v>
      </c>
      <c r="P11" s="20">
        <f>SUM(L11:O11)</f>
        <v>24.5</v>
      </c>
      <c r="Q11" s="17">
        <v>4.3</v>
      </c>
      <c r="R11" s="17">
        <v>5.5</v>
      </c>
      <c r="S11" s="17">
        <v>5.5</v>
      </c>
      <c r="T11" s="17">
        <v>5.4</v>
      </c>
      <c r="U11" s="20">
        <f>SUM(Q11:T11)</f>
        <v>20.700000000000003</v>
      </c>
      <c r="V11" s="17">
        <v>5</v>
      </c>
      <c r="W11" s="17">
        <v>4.9000000000000004</v>
      </c>
      <c r="X11" s="17">
        <v>4.9000000000000004</v>
      </c>
      <c r="Y11" s="17">
        <v>5</v>
      </c>
      <c r="Z11" s="20">
        <f>SUM(V11:Y11)</f>
        <v>19.8</v>
      </c>
      <c r="AA11" s="17">
        <v>4.8</v>
      </c>
      <c r="AB11" s="17">
        <v>4.9000000000000004</v>
      </c>
      <c r="AC11" s="17">
        <v>4.7</v>
      </c>
      <c r="AD11" s="17">
        <v>4.4000000000000004</v>
      </c>
      <c r="AE11" s="20">
        <f>SUM(AA11:AD11)</f>
        <v>18.799999999999997</v>
      </c>
      <c r="AF11" s="17">
        <v>6.1</v>
      </c>
      <c r="AG11" s="17">
        <v>6.2</v>
      </c>
      <c r="AH11" s="17">
        <v>6.4</v>
      </c>
      <c r="AI11" s="17">
        <v>6.4</v>
      </c>
      <c r="AJ11" s="20">
        <f>SUM(AF11:AI11)</f>
        <v>25.1</v>
      </c>
      <c r="AK11" s="17">
        <v>5.6</v>
      </c>
      <c r="AL11" s="17">
        <v>5.2</v>
      </c>
      <c r="AM11" s="17">
        <v>5.3</v>
      </c>
      <c r="AN11" s="17">
        <v>9.3000000000000007</v>
      </c>
      <c r="AO11" s="20">
        <f>SUM(AK11:AN11)</f>
        <v>25.400000000000002</v>
      </c>
      <c r="AP11" s="17">
        <v>4.8</v>
      </c>
      <c r="AQ11" s="17">
        <v>4.8</v>
      </c>
      <c r="AR11" s="17">
        <v>4.9000000000000004</v>
      </c>
      <c r="AS11" s="17">
        <v>5.2</v>
      </c>
      <c r="AT11" s="20">
        <f>SUM(AP11:AS11)</f>
        <v>19.7</v>
      </c>
      <c r="AU11" s="17">
        <v>5.2</v>
      </c>
      <c r="AV11" s="17">
        <v>5.2</v>
      </c>
      <c r="AW11" s="17">
        <v>5.2</v>
      </c>
      <c r="AX11" s="17">
        <v>5.2</v>
      </c>
      <c r="AY11" s="20">
        <f>SUM(AU11:AX11)</f>
        <v>20.8</v>
      </c>
      <c r="AZ11" s="17">
        <v>5.0999999999999996</v>
      </c>
      <c r="BA11" s="17">
        <v>4.8</v>
      </c>
      <c r="BB11" s="17">
        <v>5.2</v>
      </c>
      <c r="BC11" s="17">
        <v>4.8</v>
      </c>
      <c r="BD11" s="20">
        <f>SUM(AZ11:BC11)</f>
        <v>19.899999999999999</v>
      </c>
      <c r="BE11" s="17">
        <v>5.0999999999999996</v>
      </c>
      <c r="BF11" s="17">
        <v>4.7</v>
      </c>
      <c r="BG11" s="17">
        <v>6.2</v>
      </c>
      <c r="BH11" s="17">
        <v>4.7</v>
      </c>
      <c r="BI11" s="20">
        <f>SUM(BE11:BH11)</f>
        <v>20.7</v>
      </c>
      <c r="BJ11" s="17">
        <v>5</v>
      </c>
      <c r="BK11" s="17">
        <v>5.0999999999999996</v>
      </c>
      <c r="BL11" s="17">
        <v>5.2</v>
      </c>
      <c r="BM11" s="17">
        <v>5.2</v>
      </c>
      <c r="BN11" s="20">
        <f>SUM(BJ11:BM11)</f>
        <v>20.5</v>
      </c>
      <c r="BO11" s="17">
        <v>14.1</v>
      </c>
      <c r="BP11" s="17">
        <v>16.899999999999999</v>
      </c>
      <c r="BQ11" s="17">
        <v>16.3</v>
      </c>
      <c r="BR11" s="17">
        <v>16</v>
      </c>
      <c r="BS11" s="20">
        <f>SUM(BO11:BR11)</f>
        <v>63.3</v>
      </c>
      <c r="BT11" s="17">
        <v>16.399999999999999</v>
      </c>
      <c r="BU11" s="17">
        <v>16.3</v>
      </c>
      <c r="BV11" s="17">
        <v>16.2</v>
      </c>
      <c r="BW11" s="17">
        <v>16.3</v>
      </c>
      <c r="BX11" s="87">
        <f>SUM(BT11:BW11)</f>
        <v>65.2</v>
      </c>
      <c r="BY11" s="17">
        <v>15.8</v>
      </c>
      <c r="BZ11" s="17">
        <v>18</v>
      </c>
      <c r="CA11" s="17">
        <v>17.8</v>
      </c>
      <c r="CB11" s="17">
        <v>15.9</v>
      </c>
      <c r="CC11" s="87">
        <f>SUM(BY11:CB11)</f>
        <v>67.5</v>
      </c>
      <c r="CD11" s="17">
        <v>17</v>
      </c>
      <c r="CE11" s="17">
        <v>16.399999999999999</v>
      </c>
      <c r="CF11" s="17">
        <v>16.600000000000001</v>
      </c>
      <c r="CG11" s="17">
        <v>16.8</v>
      </c>
      <c r="CH11" s="87">
        <f>SUM(CD11:CG11)</f>
        <v>66.8</v>
      </c>
      <c r="CI11" s="17">
        <v>16.899999999999999</v>
      </c>
      <c r="CJ11" s="17">
        <v>16.8</v>
      </c>
      <c r="CK11" s="17">
        <v>17.899999999999999</v>
      </c>
      <c r="CL11" s="17">
        <v>17.399999999999999</v>
      </c>
      <c r="CM11" s="87">
        <f>SUM(CI11:CL11)</f>
        <v>69</v>
      </c>
      <c r="CN11" s="17">
        <v>4.9000000000000004</v>
      </c>
      <c r="CO11" s="17">
        <v>4.7</v>
      </c>
      <c r="CP11" s="17">
        <v>7.2</v>
      </c>
      <c r="CQ11" s="17">
        <v>5.2</v>
      </c>
      <c r="CR11" s="87">
        <f>SUM(CN11:CQ11)</f>
        <v>22</v>
      </c>
      <c r="CS11" s="17">
        <v>5</v>
      </c>
      <c r="CT11" s="17">
        <v>3.6</v>
      </c>
      <c r="CU11" s="17">
        <v>3.8</v>
      </c>
      <c r="CV11" s="17">
        <v>3.8</v>
      </c>
      <c r="CW11" s="87">
        <f>SUM(CS11:CV11)</f>
        <v>16.2</v>
      </c>
    </row>
    <row r="12" spans="1:101" x14ac:dyDescent="0.2">
      <c r="A12" s="1" t="s">
        <v>94</v>
      </c>
      <c r="B12" s="26">
        <f>9.3-0.8</f>
        <v>8.5</v>
      </c>
      <c r="C12" s="26">
        <f>2.1-1</f>
        <v>1.1000000000000001</v>
      </c>
      <c r="D12" s="26">
        <f>-3.9-1</f>
        <v>-4.9000000000000004</v>
      </c>
      <c r="E12" s="26">
        <f>0.7-0.7</f>
        <v>0</v>
      </c>
      <c r="F12" s="21">
        <f>SUM(B12:E12)</f>
        <v>4.6999999999999993</v>
      </c>
      <c r="G12" s="26">
        <f>-0.6-0.9</f>
        <v>-1.5</v>
      </c>
      <c r="H12" s="26">
        <f>0.4-1.6</f>
        <v>-1.2000000000000002</v>
      </c>
      <c r="I12" s="26">
        <f>-0.7-1.4</f>
        <v>-2.0999999999999996</v>
      </c>
      <c r="J12" s="26">
        <f>152.8-1.7</f>
        <v>151.10000000000002</v>
      </c>
      <c r="K12" s="21">
        <f>SUM(G12:J12)</f>
        <v>146.30000000000001</v>
      </c>
      <c r="L12" s="26">
        <f>-1.9-1.2</f>
        <v>-3.0999999999999996</v>
      </c>
      <c r="M12" s="26">
        <f>1.8-1.7</f>
        <v>0.10000000000000009</v>
      </c>
      <c r="N12" s="26">
        <f>0.3-1.1</f>
        <v>-0.8</v>
      </c>
      <c r="O12" s="26">
        <f>15.6-0.6</f>
        <v>15</v>
      </c>
      <c r="P12" s="21">
        <f>SUM(L12:O12)</f>
        <v>11.2</v>
      </c>
      <c r="Q12" s="26">
        <f>5.2-4.3</f>
        <v>0.90000000000000036</v>
      </c>
      <c r="R12" s="26">
        <v>11.9</v>
      </c>
      <c r="S12" s="26">
        <v>2</v>
      </c>
      <c r="T12" s="26">
        <v>0.9</v>
      </c>
      <c r="U12" s="21">
        <f>SUM(Q12:T12)</f>
        <v>15.700000000000001</v>
      </c>
      <c r="V12" s="26">
        <v>-9</v>
      </c>
      <c r="W12" s="26">
        <v>0.9</v>
      </c>
      <c r="X12" s="26">
        <v>0.6</v>
      </c>
      <c r="Y12" s="26">
        <v>0.8</v>
      </c>
      <c r="Z12" s="21">
        <f>SUM(V12:Y12)</f>
        <v>-6.7</v>
      </c>
      <c r="AA12" s="26">
        <v>-4.8</v>
      </c>
      <c r="AB12" s="26">
        <v>-0.2</v>
      </c>
      <c r="AC12" s="26">
        <v>0.2</v>
      </c>
      <c r="AD12" s="26">
        <v>31.4</v>
      </c>
      <c r="AE12" s="21">
        <f>SUM(AA12:AD12)</f>
        <v>26.599999999999998</v>
      </c>
      <c r="AF12" s="26">
        <v>0.4</v>
      </c>
      <c r="AG12" s="26">
        <v>-0.6</v>
      </c>
      <c r="AH12" s="26">
        <v>-1.1000000000000001</v>
      </c>
      <c r="AI12" s="26">
        <v>-0.7</v>
      </c>
      <c r="AJ12" s="21">
        <f>SUM(AF12:AI12)</f>
        <v>-2</v>
      </c>
      <c r="AK12" s="26">
        <v>-3.6</v>
      </c>
      <c r="AL12" s="26">
        <v>-3.4</v>
      </c>
      <c r="AM12" s="26">
        <v>-10.5</v>
      </c>
      <c r="AN12" s="26">
        <v>59.5</v>
      </c>
      <c r="AO12" s="21">
        <f>SUM(AK12:AN12)</f>
        <v>42</v>
      </c>
      <c r="AP12" s="26">
        <v>-5.9</v>
      </c>
      <c r="AQ12" s="26">
        <v>-0.4</v>
      </c>
      <c r="AR12" s="26">
        <v>-2.6</v>
      </c>
      <c r="AS12" s="26">
        <v>-1.5</v>
      </c>
      <c r="AT12" s="21">
        <f>SUM(AP12:AS12)</f>
        <v>-10.4</v>
      </c>
      <c r="AU12" s="26">
        <v>3.4</v>
      </c>
      <c r="AV12" s="26">
        <v>-0.3</v>
      </c>
      <c r="AW12" s="26">
        <v>-2.5</v>
      </c>
      <c r="AX12" s="26">
        <v>2.4</v>
      </c>
      <c r="AY12" s="21">
        <f>SUM(AU12:AX12)</f>
        <v>3</v>
      </c>
      <c r="AZ12" s="26">
        <v>-3.7</v>
      </c>
      <c r="BA12" s="26">
        <v>-18.8</v>
      </c>
      <c r="BB12" s="26">
        <v>-1.9</v>
      </c>
      <c r="BC12" s="26">
        <v>-13.5</v>
      </c>
      <c r="BD12" s="21">
        <f>SUM(AZ12:BC12)</f>
        <v>-37.9</v>
      </c>
      <c r="BE12" s="26">
        <v>-0.4</v>
      </c>
      <c r="BF12" s="26">
        <v>-1</v>
      </c>
      <c r="BG12" s="26">
        <v>5.5</v>
      </c>
      <c r="BH12" s="26">
        <v>-11</v>
      </c>
      <c r="BI12" s="21">
        <f>SUM(BE12:BH12)</f>
        <v>-6.9</v>
      </c>
      <c r="BJ12" s="26">
        <v>0.3</v>
      </c>
      <c r="BK12" s="26">
        <v>-3</v>
      </c>
      <c r="BL12" s="26">
        <v>-3.2</v>
      </c>
      <c r="BM12" s="26">
        <v>12.1</v>
      </c>
      <c r="BN12" s="21">
        <f>SUM(BJ12:BM12)</f>
        <v>6.1999999999999993</v>
      </c>
      <c r="BO12" s="26">
        <v>2.1</v>
      </c>
      <c r="BP12" s="26">
        <v>-1.5</v>
      </c>
      <c r="BQ12" s="26">
        <v>-0.1</v>
      </c>
      <c r="BR12" s="26">
        <v>3.7</v>
      </c>
      <c r="BS12" s="21">
        <f>SUM(BO12:BR12)</f>
        <v>4.2</v>
      </c>
      <c r="BT12" s="26">
        <v>7.9</v>
      </c>
      <c r="BU12" s="26">
        <v>10.4</v>
      </c>
      <c r="BV12" s="26">
        <v>-2.2999999999999998</v>
      </c>
      <c r="BW12" s="26">
        <v>-9</v>
      </c>
      <c r="BX12" s="88">
        <f>SUM(BT12:BW12)</f>
        <v>7</v>
      </c>
      <c r="BY12" s="26">
        <f>0.1-2.4</f>
        <v>-2.2999999999999998</v>
      </c>
      <c r="BZ12" s="26">
        <v>-33.200000000000003</v>
      </c>
      <c r="CA12" s="26">
        <v>-9.5</v>
      </c>
      <c r="CB12" s="26">
        <v>-2.2999999999999998</v>
      </c>
      <c r="CC12" s="88">
        <f>SUM(BY12:CB12)</f>
        <v>-47.3</v>
      </c>
      <c r="CD12" s="26">
        <f>-0.2+1.2</f>
        <v>1</v>
      </c>
      <c r="CE12" s="26">
        <f>0.2+3.4</f>
        <v>3.6</v>
      </c>
      <c r="CF12" s="26">
        <f>1.4-1.1</f>
        <v>0.29999999999999982</v>
      </c>
      <c r="CG12" s="26">
        <v>-7.2</v>
      </c>
      <c r="CH12" s="88">
        <f>SUM(CD12:CG12)</f>
        <v>-2.3000000000000007</v>
      </c>
      <c r="CI12" s="26">
        <v>-3.6</v>
      </c>
      <c r="CJ12" s="26">
        <v>-10.6</v>
      </c>
      <c r="CK12" s="26">
        <v>-4.0999999999999996</v>
      </c>
      <c r="CL12" s="26">
        <v>428.1</v>
      </c>
      <c r="CM12" s="88">
        <f>SUM(CI12:CL12)</f>
        <v>409.8</v>
      </c>
      <c r="CN12" s="26">
        <v>-7.4</v>
      </c>
      <c r="CO12" s="26">
        <v>664.6</v>
      </c>
      <c r="CP12" s="26">
        <v>-11.3</v>
      </c>
      <c r="CQ12" s="26">
        <v>2.2999999999999998</v>
      </c>
      <c r="CR12" s="88">
        <f>SUM(CN12:CQ12)</f>
        <v>648.20000000000005</v>
      </c>
      <c r="CS12" s="26">
        <v>-1.5</v>
      </c>
      <c r="CT12" s="26">
        <v>-19.8</v>
      </c>
      <c r="CU12" s="26">
        <v>-105.7</v>
      </c>
      <c r="CV12" s="26">
        <v>10.6</v>
      </c>
      <c r="CW12" s="88">
        <f>SUM(CS12:CV12)</f>
        <v>-116.4</v>
      </c>
    </row>
    <row r="13" spans="1:101" x14ac:dyDescent="0.2">
      <c r="A13" s="6" t="s">
        <v>95</v>
      </c>
      <c r="B13" s="18">
        <f t="shared" ref="B13:AG13" si="21">+B9-B11-B12</f>
        <v>76.100000000000051</v>
      </c>
      <c r="C13" s="18">
        <f t="shared" si="21"/>
        <v>94.6</v>
      </c>
      <c r="D13" s="18">
        <f t="shared" si="21"/>
        <v>121.29999999999998</v>
      </c>
      <c r="E13" s="18">
        <f t="shared" si="21"/>
        <v>94.899999999999991</v>
      </c>
      <c r="F13" s="22">
        <f t="shared" si="21"/>
        <v>386.89999999999947</v>
      </c>
      <c r="G13" s="18">
        <f t="shared" si="21"/>
        <v>92.699999999999875</v>
      </c>
      <c r="H13" s="18">
        <f t="shared" si="21"/>
        <v>88.399999999999991</v>
      </c>
      <c r="I13" s="18">
        <f t="shared" si="21"/>
        <v>106.50000000000001</v>
      </c>
      <c r="J13" s="18">
        <f t="shared" si="21"/>
        <v>-91.09999999999998</v>
      </c>
      <c r="K13" s="22">
        <f t="shared" si="21"/>
        <v>196.50000000000011</v>
      </c>
      <c r="L13" s="18">
        <f t="shared" si="21"/>
        <v>70.299999999999898</v>
      </c>
      <c r="M13" s="18">
        <f t="shared" si="21"/>
        <v>82.399999999999878</v>
      </c>
      <c r="N13" s="18">
        <f t="shared" si="21"/>
        <v>96.200000000000017</v>
      </c>
      <c r="O13" s="18">
        <f t="shared" si="21"/>
        <v>-16.59999999999998</v>
      </c>
      <c r="P13" s="22">
        <f t="shared" si="21"/>
        <v>232.29999999999939</v>
      </c>
      <c r="Q13" s="18">
        <f t="shared" si="21"/>
        <v>17.899999999999991</v>
      </c>
      <c r="R13" s="18">
        <f t="shared" si="21"/>
        <v>40.799999999999933</v>
      </c>
      <c r="S13" s="18">
        <f t="shared" si="21"/>
        <v>94.999999999999957</v>
      </c>
      <c r="T13" s="18">
        <f t="shared" si="21"/>
        <v>76.600000000000037</v>
      </c>
      <c r="U13" s="22">
        <f t="shared" si="21"/>
        <v>230.3000000000003</v>
      </c>
      <c r="V13" s="18">
        <f t="shared" si="21"/>
        <v>77.2</v>
      </c>
      <c r="W13" s="18">
        <f t="shared" si="21"/>
        <v>85.099999999999923</v>
      </c>
      <c r="X13" s="18">
        <f t="shared" si="21"/>
        <v>75.600000000000051</v>
      </c>
      <c r="Y13" s="18">
        <f t="shared" si="21"/>
        <v>50.100000000000009</v>
      </c>
      <c r="Z13" s="22">
        <f t="shared" si="21"/>
        <v>288.00000000000011</v>
      </c>
      <c r="AA13" s="18">
        <f t="shared" si="21"/>
        <v>74.2</v>
      </c>
      <c r="AB13" s="18">
        <f t="shared" si="21"/>
        <v>79.100000000000094</v>
      </c>
      <c r="AC13" s="18">
        <f t="shared" si="21"/>
        <v>71.599999999999966</v>
      </c>
      <c r="AD13" s="18">
        <f t="shared" si="21"/>
        <v>12.900000000000006</v>
      </c>
      <c r="AE13" s="22">
        <f t="shared" si="21"/>
        <v>237.80000000000021</v>
      </c>
      <c r="AF13" s="18">
        <f t="shared" si="21"/>
        <v>71.799999999999955</v>
      </c>
      <c r="AG13" s="18">
        <f t="shared" si="21"/>
        <v>85.899999999999949</v>
      </c>
      <c r="AH13" s="18">
        <f t="shared" ref="AH13:BM13" si="22">+AH9-AH11-AH12</f>
        <v>87.599999999999966</v>
      </c>
      <c r="AI13" s="18">
        <f t="shared" si="22"/>
        <v>79.099999999999909</v>
      </c>
      <c r="AJ13" s="22">
        <f t="shared" si="22"/>
        <v>324.40000000000032</v>
      </c>
      <c r="AK13" s="18">
        <f t="shared" si="22"/>
        <v>78.499999999999972</v>
      </c>
      <c r="AL13" s="18">
        <f t="shared" si="22"/>
        <v>91.500000000000071</v>
      </c>
      <c r="AM13" s="18">
        <f t="shared" si="22"/>
        <v>99.40000000000002</v>
      </c>
      <c r="AN13" s="18">
        <f t="shared" si="22"/>
        <v>5.2000000000000313</v>
      </c>
      <c r="AO13" s="22">
        <f t="shared" si="22"/>
        <v>274.60000000000014</v>
      </c>
      <c r="AP13" s="18">
        <f t="shared" si="22"/>
        <v>85.799999999999969</v>
      </c>
      <c r="AQ13" s="18">
        <f t="shared" si="22"/>
        <v>102.20000000000006</v>
      </c>
      <c r="AR13" s="18">
        <f t="shared" si="22"/>
        <v>75.400000000000006</v>
      </c>
      <c r="AS13" s="18">
        <f t="shared" si="22"/>
        <v>68.099999999999952</v>
      </c>
      <c r="AT13" s="22">
        <f t="shared" si="22"/>
        <v>331.50000000000051</v>
      </c>
      <c r="AU13" s="18">
        <f t="shared" si="22"/>
        <v>106.70000000000006</v>
      </c>
      <c r="AV13" s="18">
        <f t="shared" si="22"/>
        <v>112.99999999999989</v>
      </c>
      <c r="AW13" s="18">
        <f t="shared" si="22"/>
        <v>127.4999999999999</v>
      </c>
      <c r="AX13" s="18">
        <f t="shared" si="22"/>
        <v>88.899999999999963</v>
      </c>
      <c r="AY13" s="22">
        <f t="shared" si="22"/>
        <v>436.09999999999928</v>
      </c>
      <c r="AZ13" s="18">
        <f t="shared" si="22"/>
        <v>126.80000000000008</v>
      </c>
      <c r="BA13" s="18">
        <f t="shared" si="22"/>
        <v>154.99999999999983</v>
      </c>
      <c r="BB13" s="18">
        <f t="shared" si="22"/>
        <v>125.49999999999993</v>
      </c>
      <c r="BC13" s="18">
        <f t="shared" si="22"/>
        <v>128.40000000000026</v>
      </c>
      <c r="BD13" s="22">
        <f t="shared" si="22"/>
        <v>535.69999999999959</v>
      </c>
      <c r="BE13" s="52">
        <f t="shared" si="22"/>
        <v>115.6999999999999</v>
      </c>
      <c r="BF13" s="18">
        <f t="shared" si="22"/>
        <v>123.99999999999986</v>
      </c>
      <c r="BG13" s="18">
        <f t="shared" si="22"/>
        <v>116.09999999999981</v>
      </c>
      <c r="BH13" s="18">
        <f t="shared" si="22"/>
        <v>126.5</v>
      </c>
      <c r="BI13" s="22">
        <f t="shared" si="22"/>
        <v>482.29999999999939</v>
      </c>
      <c r="BJ13" s="52">
        <f t="shared" si="22"/>
        <v>113.29999999999995</v>
      </c>
      <c r="BK13" s="18">
        <f t="shared" si="22"/>
        <v>133.55000000000015</v>
      </c>
      <c r="BL13" s="18">
        <f t="shared" si="22"/>
        <v>129.59999999999985</v>
      </c>
      <c r="BM13" s="18">
        <f t="shared" si="22"/>
        <v>83.8</v>
      </c>
      <c r="BN13" s="22">
        <f t="shared" ref="BN13:CG13" si="23">+BN9-BN11-BN12</f>
        <v>460.29999999999944</v>
      </c>
      <c r="BO13" s="18">
        <f t="shared" si="23"/>
        <v>99.299999999999812</v>
      </c>
      <c r="BP13" s="18">
        <f t="shared" si="23"/>
        <v>126.50000000000014</v>
      </c>
      <c r="BQ13" s="18">
        <f t="shared" si="23"/>
        <v>138.19999999999979</v>
      </c>
      <c r="BR13" s="18">
        <f t="shared" si="23"/>
        <v>122.80000000000025</v>
      </c>
      <c r="BS13" s="22">
        <f t="shared" si="23"/>
        <v>486.80000000000007</v>
      </c>
      <c r="BT13" s="18">
        <f t="shared" si="23"/>
        <v>78.600000000000051</v>
      </c>
      <c r="BU13" s="18">
        <f t="shared" si="23"/>
        <v>22.69999999999991</v>
      </c>
      <c r="BV13" s="18">
        <f t="shared" si="23"/>
        <v>150.20000000000007</v>
      </c>
      <c r="BW13" s="18">
        <f t="shared" si="23"/>
        <v>156.00000000000011</v>
      </c>
      <c r="BX13" s="89">
        <f t="shared" si="23"/>
        <v>407.50000000000034</v>
      </c>
      <c r="BY13" s="18">
        <f t="shared" si="23"/>
        <v>127.7000000000001</v>
      </c>
      <c r="BZ13" s="18">
        <f t="shared" si="23"/>
        <v>171.89999999999998</v>
      </c>
      <c r="CA13" s="18">
        <f t="shared" si="23"/>
        <v>144.20000000000013</v>
      </c>
      <c r="CB13" s="18">
        <f t="shared" si="23"/>
        <v>152.2000000000001</v>
      </c>
      <c r="CC13" s="89">
        <f t="shared" si="23"/>
        <v>596.00000000000057</v>
      </c>
      <c r="CD13" s="18">
        <f t="shared" si="23"/>
        <v>137.59999999999997</v>
      </c>
      <c r="CE13" s="18">
        <f t="shared" si="23"/>
        <v>143.00000000000009</v>
      </c>
      <c r="CF13" s="18">
        <f t="shared" si="23"/>
        <v>113.2</v>
      </c>
      <c r="CG13" s="18">
        <f t="shared" si="23"/>
        <v>91.199999999999918</v>
      </c>
      <c r="CH13" s="89">
        <f t="shared" ref="CH13:CL13" si="24">+CH9-CH11-CH12</f>
        <v>484.99999999999932</v>
      </c>
      <c r="CI13" s="18">
        <f t="shared" si="24"/>
        <v>89.299999999999898</v>
      </c>
      <c r="CJ13" s="18">
        <f t="shared" si="24"/>
        <v>95.700000000000017</v>
      </c>
      <c r="CK13" s="18">
        <f t="shared" si="24"/>
        <v>91.400000000000063</v>
      </c>
      <c r="CL13" s="18">
        <f t="shared" si="24"/>
        <v>-366.80000000000007</v>
      </c>
      <c r="CM13" s="89">
        <f t="shared" ref="CM13:CQ13" si="25">+CM9-CM11-CM12</f>
        <v>-90.399999999999807</v>
      </c>
      <c r="CN13" s="18">
        <f t="shared" si="25"/>
        <v>63.000000000000085</v>
      </c>
      <c r="CO13" s="18">
        <f t="shared" si="25"/>
        <v>-614.30000000000018</v>
      </c>
      <c r="CP13" s="18">
        <f t="shared" si="25"/>
        <v>77.700000000000017</v>
      </c>
      <c r="CQ13" s="18">
        <f t="shared" si="25"/>
        <v>43.700000000000131</v>
      </c>
      <c r="CR13" s="89">
        <f t="shared" ref="CR13:CV13" si="26">+CR9-CR11-CR12</f>
        <v>-429.89999999999964</v>
      </c>
      <c r="CS13" s="18">
        <f t="shared" si="26"/>
        <v>62.900000000000006</v>
      </c>
      <c r="CT13" s="18">
        <f t="shared" si="26"/>
        <v>90.40000000000002</v>
      </c>
      <c r="CU13" s="18">
        <f t="shared" si="26"/>
        <v>171.10000000000005</v>
      </c>
      <c r="CV13" s="18">
        <f t="shared" si="26"/>
        <v>31.600000000000072</v>
      </c>
      <c r="CW13" s="89">
        <f t="shared" ref="CW13" si="27">+CW9-CW11-CW12</f>
        <v>355.99999999999989</v>
      </c>
    </row>
    <row r="14" spans="1:101" x14ac:dyDescent="0.2">
      <c r="A14" s="8" t="s">
        <v>90</v>
      </c>
      <c r="B14" s="31">
        <f t="shared" ref="B14:AG14" si="28">+B13/B4</f>
        <v>7.2669977081741832E-2</v>
      </c>
      <c r="C14" s="31">
        <f t="shared" si="28"/>
        <v>8.7714418173388958E-2</v>
      </c>
      <c r="D14" s="31">
        <f t="shared" si="28"/>
        <v>0.1087404751232631</v>
      </c>
      <c r="E14" s="31">
        <f t="shared" si="28"/>
        <v>9.2522179974651439E-2</v>
      </c>
      <c r="F14" s="32">
        <f t="shared" si="28"/>
        <v>9.0674728725772688E-2</v>
      </c>
      <c r="G14" s="38">
        <f t="shared" si="28"/>
        <v>8.8487972508590959E-2</v>
      </c>
      <c r="H14" s="38">
        <f t="shared" si="28"/>
        <v>8.2578234469873876E-2</v>
      </c>
      <c r="I14" s="38">
        <f t="shared" si="28"/>
        <v>9.7509613623878416E-2</v>
      </c>
      <c r="J14" s="38">
        <f t="shared" si="28"/>
        <v>-8.7621429258439909E-2</v>
      </c>
      <c r="K14" s="35">
        <f t="shared" si="28"/>
        <v>4.6235294117647083E-2</v>
      </c>
      <c r="L14" s="38">
        <f t="shared" si="28"/>
        <v>7.0419713512971951E-2</v>
      </c>
      <c r="M14" s="38">
        <f t="shared" si="28"/>
        <v>7.7509171291505863E-2</v>
      </c>
      <c r="N14" s="38">
        <f t="shared" si="28"/>
        <v>8.4967320261437926E-2</v>
      </c>
      <c r="O14" s="38">
        <f t="shared" si="28"/>
        <v>-1.8810198300283264E-2</v>
      </c>
      <c r="P14" s="35">
        <f t="shared" si="28"/>
        <v>5.699075096293011E-2</v>
      </c>
      <c r="Q14" s="38">
        <f t="shared" si="28"/>
        <v>2.4926890405236025E-2</v>
      </c>
      <c r="R14" s="38">
        <f t="shared" si="28"/>
        <v>5.3868497491417922E-2</v>
      </c>
      <c r="S14" s="38">
        <f t="shared" si="28"/>
        <v>0.11729843190517343</v>
      </c>
      <c r="T14" s="38">
        <f t="shared" si="28"/>
        <v>9.9519293231129055E-2</v>
      </c>
      <c r="U14" s="35">
        <f t="shared" si="28"/>
        <v>7.5382147883866407E-2</v>
      </c>
      <c r="V14" s="38">
        <f t="shared" si="28"/>
        <v>9.456148946594807E-2</v>
      </c>
      <c r="W14" s="38">
        <f t="shared" si="28"/>
        <v>9.7335010865835445E-2</v>
      </c>
      <c r="X14" s="38">
        <f t="shared" si="28"/>
        <v>8.724754760530877E-2</v>
      </c>
      <c r="Y14" s="38">
        <f t="shared" si="28"/>
        <v>6.2476618032173602E-2</v>
      </c>
      <c r="Z14" s="35">
        <f t="shared" si="28"/>
        <v>8.5737251049388272E-2</v>
      </c>
      <c r="AA14" s="38">
        <f t="shared" si="28"/>
        <v>8.283098906005805E-2</v>
      </c>
      <c r="AB14" s="38">
        <f t="shared" si="28"/>
        <v>8.3685992382564633E-2</v>
      </c>
      <c r="AC14" s="38">
        <f t="shared" si="28"/>
        <v>7.6097353597619266E-2</v>
      </c>
      <c r="AD14" s="38">
        <f t="shared" si="28"/>
        <v>1.5103617843343877E-2</v>
      </c>
      <c r="AE14" s="35">
        <f t="shared" si="28"/>
        <v>6.5401540154015461E-2</v>
      </c>
      <c r="AF14" s="38">
        <f t="shared" si="28"/>
        <v>8.2010279840091321E-2</v>
      </c>
      <c r="AG14" s="38">
        <f t="shared" si="28"/>
        <v>9.904300703332175E-2</v>
      </c>
      <c r="AH14" s="38">
        <f t="shared" ref="AH14:BM14" si="29">+AH13/AH4</f>
        <v>0.10151813651639816</v>
      </c>
      <c r="AI14" s="38">
        <f t="shared" si="29"/>
        <v>9.7799208704253113E-2</v>
      </c>
      <c r="AJ14" s="35">
        <f t="shared" si="29"/>
        <v>9.5006589544589348E-2</v>
      </c>
      <c r="AK14" s="38">
        <f t="shared" si="29"/>
        <v>9.1194237918215584E-2</v>
      </c>
      <c r="AL14" s="38">
        <f t="shared" si="29"/>
        <v>0.104024556616644</v>
      </c>
      <c r="AM14" s="38">
        <f t="shared" si="29"/>
        <v>0.11326344576116684</v>
      </c>
      <c r="AN14" s="38">
        <f t="shared" si="29"/>
        <v>6.0521415270018983E-3</v>
      </c>
      <c r="AO14" s="35">
        <f t="shared" si="29"/>
        <v>7.8971586333831861E-2</v>
      </c>
      <c r="AP14" s="38">
        <f t="shared" si="29"/>
        <v>9.8001142204454564E-2</v>
      </c>
      <c r="AQ14" s="38">
        <f t="shared" si="29"/>
        <v>0.10689258445769277</v>
      </c>
      <c r="AR14" s="38">
        <f t="shared" si="29"/>
        <v>7.5596551032684992E-2</v>
      </c>
      <c r="AS14" s="38">
        <f t="shared" si="29"/>
        <v>7.1436064198048835E-2</v>
      </c>
      <c r="AT14" s="35">
        <f t="shared" si="29"/>
        <v>8.7645083679242924E-2</v>
      </c>
      <c r="AU14" s="38">
        <f t="shared" si="29"/>
        <v>0.11043262264541509</v>
      </c>
      <c r="AV14" s="38">
        <f t="shared" si="29"/>
        <v>0.11330592600020044</v>
      </c>
      <c r="AW14" s="38">
        <f t="shared" si="29"/>
        <v>0.1263502130611435</v>
      </c>
      <c r="AX14" s="38">
        <f t="shared" si="29"/>
        <v>9.411391065001054E-2</v>
      </c>
      <c r="AY14" s="69">
        <f t="shared" si="29"/>
        <v>0.11132952108649018</v>
      </c>
      <c r="AZ14" s="78">
        <f t="shared" si="29"/>
        <v>0.1351236146632567</v>
      </c>
      <c r="BA14" s="78">
        <f t="shared" si="29"/>
        <v>0.16164354990092797</v>
      </c>
      <c r="BB14" s="78">
        <f t="shared" si="29"/>
        <v>0.13225840446833168</v>
      </c>
      <c r="BC14" s="78">
        <f t="shared" si="29"/>
        <v>0.14208254951864585</v>
      </c>
      <c r="BD14" s="69">
        <f t="shared" si="29"/>
        <v>0.14285714285714277</v>
      </c>
      <c r="BE14" s="78">
        <f t="shared" si="29"/>
        <v>0.12048318233885234</v>
      </c>
      <c r="BF14" s="78">
        <f t="shared" si="29"/>
        <v>0.12534115030829865</v>
      </c>
      <c r="BG14" s="78">
        <f t="shared" si="29"/>
        <v>0.11498464890561534</v>
      </c>
      <c r="BH14" s="78">
        <f t="shared" si="29"/>
        <v>0.12849162011173185</v>
      </c>
      <c r="BI14" s="69">
        <f t="shared" si="29"/>
        <v>0.12229321973730903</v>
      </c>
      <c r="BJ14" s="78">
        <f t="shared" si="29"/>
        <v>0.11012830482115081</v>
      </c>
      <c r="BK14" s="78">
        <f t="shared" si="29"/>
        <v>0.12113928069300209</v>
      </c>
      <c r="BL14" s="78">
        <f t="shared" si="29"/>
        <v>0.11873568483737962</v>
      </c>
      <c r="BM14" s="78">
        <f t="shared" si="29"/>
        <v>8.0061144549536639E-2</v>
      </c>
      <c r="BN14" s="69">
        <f t="shared" ref="BN14:CH14" si="30">+BN13/BN4</f>
        <v>0.10781121911230811</v>
      </c>
      <c r="BO14" s="78">
        <f t="shared" si="30"/>
        <v>8.5966582979828426E-2</v>
      </c>
      <c r="BP14" s="78">
        <f t="shared" si="30"/>
        <v>0.10426969996702946</v>
      </c>
      <c r="BQ14" s="78">
        <f t="shared" si="30"/>
        <v>0.1115145646736059</v>
      </c>
      <c r="BR14" s="78">
        <f t="shared" si="30"/>
        <v>0.10725827583195061</v>
      </c>
      <c r="BS14" s="69">
        <f t="shared" si="30"/>
        <v>0.10243029984218834</v>
      </c>
      <c r="BT14" s="78">
        <f t="shared" si="30"/>
        <v>7.5179340028694447E-2</v>
      </c>
      <c r="BU14" s="78">
        <f t="shared" si="30"/>
        <v>2.6860726541237615E-2</v>
      </c>
      <c r="BV14" s="78">
        <f t="shared" si="30"/>
        <v>0.12437893342166287</v>
      </c>
      <c r="BW14" s="78">
        <f t="shared" si="30"/>
        <v>0.13197969543147217</v>
      </c>
      <c r="BX14" s="69">
        <f t="shared" si="30"/>
        <v>9.5205831503200875E-2</v>
      </c>
      <c r="BY14" s="78">
        <f t="shared" si="30"/>
        <v>0.11095664262750898</v>
      </c>
      <c r="BZ14" s="78">
        <f t="shared" si="30"/>
        <v>0.1353969754253308</v>
      </c>
      <c r="CA14" s="78">
        <f t="shared" si="30"/>
        <v>0.1093086719223773</v>
      </c>
      <c r="CB14" s="78">
        <f t="shared" si="30"/>
        <v>0.11418711081101365</v>
      </c>
      <c r="CC14" s="69">
        <f t="shared" si="30"/>
        <v>0.11749398730434107</v>
      </c>
      <c r="CD14" s="78">
        <f t="shared" si="30"/>
        <v>0.1040611056492475</v>
      </c>
      <c r="CE14" s="78">
        <f t="shared" si="30"/>
        <v>0.10718033278369066</v>
      </c>
      <c r="CF14" s="78">
        <f t="shared" si="30"/>
        <v>8.745364647713226E-2</v>
      </c>
      <c r="CG14" s="78">
        <f t="shared" si="30"/>
        <v>7.6266934269944742E-2</v>
      </c>
      <c r="CH14" s="69">
        <f t="shared" si="30"/>
        <v>9.4235140964112799E-2</v>
      </c>
      <c r="CI14" s="78">
        <f t="shared" ref="CI14:CL14" si="31">+CI13/CI4</f>
        <v>7.358272907053387E-2</v>
      </c>
      <c r="CJ14" s="78">
        <f t="shared" si="31"/>
        <v>7.8365542089747803E-2</v>
      </c>
      <c r="CK14" s="78">
        <f t="shared" si="31"/>
        <v>7.7760762293687308E-2</v>
      </c>
      <c r="CL14" s="78">
        <f t="shared" si="31"/>
        <v>-0.32893910860012565</v>
      </c>
      <c r="CM14" s="69">
        <f>+CM13/CM4</f>
        <v>-1.9131060461769583E-2</v>
      </c>
      <c r="CN14" s="78">
        <f t="shared" ref="CN14:CQ14" si="32">+CN13/CN4</f>
        <v>5.7434588385449979E-2</v>
      </c>
      <c r="CO14" s="78">
        <f t="shared" si="32"/>
        <v>-0.54430267588162351</v>
      </c>
      <c r="CP14" s="78">
        <f t="shared" si="32"/>
        <v>7.0527366796768645E-2</v>
      </c>
      <c r="CQ14" s="78">
        <f t="shared" si="32"/>
        <v>4.1366906474820261E-2</v>
      </c>
      <c r="CR14" s="69">
        <f>+CR13/CR4</f>
        <v>-9.8070079386805273E-2</v>
      </c>
      <c r="CS14" s="78">
        <f t="shared" ref="CS14:CV14" si="33">+CS13/CS4</f>
        <v>6.153996673515312E-2</v>
      </c>
      <c r="CT14" s="78">
        <f t="shared" si="33"/>
        <v>8.5444234404536884E-2</v>
      </c>
      <c r="CU14" s="78">
        <f t="shared" si="33"/>
        <v>0.16509069857197997</v>
      </c>
      <c r="CV14" s="78">
        <f t="shared" si="33"/>
        <v>3.3667163861069757E-2</v>
      </c>
      <c r="CW14" s="69">
        <f>+CW13/CW4</f>
        <v>8.7790683337032355E-2</v>
      </c>
    </row>
    <row r="15" spans="1:101" x14ac:dyDescent="0.2">
      <c r="A15" s="1" t="s">
        <v>96</v>
      </c>
      <c r="B15" s="17">
        <v>12.4</v>
      </c>
      <c r="C15" s="17">
        <v>13.5</v>
      </c>
      <c r="D15" s="17">
        <v>13.5</v>
      </c>
      <c r="E15" s="17">
        <v>14.8</v>
      </c>
      <c r="F15" s="20">
        <f>SUM(B15:E15)</f>
        <v>54.2</v>
      </c>
      <c r="G15" s="17">
        <v>13.7</v>
      </c>
      <c r="H15" s="17">
        <v>14.2</v>
      </c>
      <c r="I15" s="17">
        <v>15.2</v>
      </c>
      <c r="J15" s="17">
        <v>15.5</v>
      </c>
      <c r="K15" s="20">
        <f>SUM(G15:J15)</f>
        <v>58.599999999999994</v>
      </c>
      <c r="L15" s="17">
        <v>13.3</v>
      </c>
      <c r="M15" s="17">
        <v>13.1</v>
      </c>
      <c r="N15" s="17">
        <v>11.9</v>
      </c>
      <c r="O15" s="17">
        <v>10.1</v>
      </c>
      <c r="P15" s="20">
        <f>SUM(L15:O15)</f>
        <v>48.4</v>
      </c>
      <c r="Q15" s="17">
        <v>9.4</v>
      </c>
      <c r="R15" s="17">
        <v>9.1</v>
      </c>
      <c r="S15" s="17">
        <v>9.3000000000000007</v>
      </c>
      <c r="T15" s="17">
        <v>9.6</v>
      </c>
      <c r="U15" s="20">
        <f>SUM(Q15:T15)</f>
        <v>37.4</v>
      </c>
      <c r="V15" s="17">
        <v>9.3000000000000007</v>
      </c>
      <c r="W15" s="17">
        <v>9.1999999999999993</v>
      </c>
      <c r="X15" s="17">
        <v>9.3000000000000007</v>
      </c>
      <c r="Y15" s="17">
        <v>9.9</v>
      </c>
      <c r="Z15" s="20">
        <f>SUM(V15:Y15)</f>
        <v>37.700000000000003</v>
      </c>
      <c r="AA15" s="17">
        <v>9.5</v>
      </c>
      <c r="AB15" s="17">
        <v>9.4</v>
      </c>
      <c r="AC15" s="17">
        <v>9.6</v>
      </c>
      <c r="AD15" s="17">
        <v>9.8000000000000007</v>
      </c>
      <c r="AE15" s="20">
        <f>SUM(AA15:AD15)</f>
        <v>38.299999999999997</v>
      </c>
      <c r="AF15" s="17">
        <v>9.5</v>
      </c>
      <c r="AG15" s="17">
        <v>9.6</v>
      </c>
      <c r="AH15" s="17">
        <v>11.3</v>
      </c>
      <c r="AI15" s="17">
        <v>13</v>
      </c>
      <c r="AJ15" s="20">
        <f>SUM(AF15:AI15)</f>
        <v>43.400000000000006</v>
      </c>
      <c r="AK15" s="17">
        <v>12.8</v>
      </c>
      <c r="AL15" s="17">
        <v>10.9</v>
      </c>
      <c r="AM15" s="17">
        <v>10.6</v>
      </c>
      <c r="AN15" s="17">
        <v>10.4</v>
      </c>
      <c r="AO15" s="20">
        <f>SUM(AK15:AN15)</f>
        <v>44.7</v>
      </c>
      <c r="AP15" s="17">
        <v>10.4</v>
      </c>
      <c r="AQ15" s="17">
        <v>10.4</v>
      </c>
      <c r="AR15" s="17">
        <v>10.4</v>
      </c>
      <c r="AS15" s="17">
        <v>10.6</v>
      </c>
      <c r="AT15" s="20">
        <f>SUM(AP15:AS15)</f>
        <v>41.800000000000004</v>
      </c>
      <c r="AU15" s="17">
        <v>11</v>
      </c>
      <c r="AV15" s="17">
        <v>11.2</v>
      </c>
      <c r="AW15" s="17">
        <v>10.3</v>
      </c>
      <c r="AX15" s="17">
        <v>8.6</v>
      </c>
      <c r="AY15" s="20">
        <f>SUM(AU15:AX15)</f>
        <v>41.1</v>
      </c>
      <c r="AZ15" s="17">
        <v>9.1999999999999993</v>
      </c>
      <c r="BA15" s="17">
        <v>10.3</v>
      </c>
      <c r="BB15" s="17">
        <v>9.9</v>
      </c>
      <c r="BC15" s="17">
        <v>9.4</v>
      </c>
      <c r="BD15" s="20">
        <f>SUM(AZ15:BC15)</f>
        <v>38.799999999999997</v>
      </c>
      <c r="BE15" s="17">
        <v>10.6</v>
      </c>
      <c r="BF15" s="17">
        <v>10.4</v>
      </c>
      <c r="BG15" s="17">
        <v>10.199999999999999</v>
      </c>
      <c r="BH15" s="17">
        <v>12.3</v>
      </c>
      <c r="BI15" s="20">
        <f>SUM(BE15:BH15)</f>
        <v>43.5</v>
      </c>
      <c r="BJ15" s="17">
        <v>14.4</v>
      </c>
      <c r="BK15" s="17">
        <v>16</v>
      </c>
      <c r="BL15" s="17">
        <v>13.1</v>
      </c>
      <c r="BM15" s="17">
        <v>17.399999999999999</v>
      </c>
      <c r="BN15" s="20">
        <f>SUM(BJ15:BM15)</f>
        <v>60.9</v>
      </c>
      <c r="BO15" s="17">
        <v>21.4</v>
      </c>
      <c r="BP15" s="17">
        <v>24.5</v>
      </c>
      <c r="BQ15" s="17">
        <v>22.6</v>
      </c>
      <c r="BR15" s="17">
        <v>22.2</v>
      </c>
      <c r="BS15" s="20">
        <f>SUM(BO15:BR15)</f>
        <v>90.7</v>
      </c>
      <c r="BT15" s="17">
        <v>20.9</v>
      </c>
      <c r="BU15" s="17">
        <v>21.4</v>
      </c>
      <c r="BV15" s="17">
        <v>20.9</v>
      </c>
      <c r="BW15" s="17">
        <v>19.5</v>
      </c>
      <c r="BX15" s="87">
        <f>SUM(BT15:BW15)</f>
        <v>82.699999999999989</v>
      </c>
      <c r="BY15" s="17">
        <v>19.3</v>
      </c>
      <c r="BZ15" s="17">
        <v>19.5</v>
      </c>
      <c r="CA15" s="17">
        <v>19</v>
      </c>
      <c r="CB15" s="17">
        <v>18.7</v>
      </c>
      <c r="CC15" s="87">
        <f>SUM(BY15:CB15)</f>
        <v>76.5</v>
      </c>
      <c r="CD15" s="17">
        <v>20.7</v>
      </c>
      <c r="CE15" s="17">
        <v>21.1</v>
      </c>
      <c r="CF15" s="17">
        <v>20.5</v>
      </c>
      <c r="CG15" s="17">
        <v>23.2</v>
      </c>
      <c r="CH15" s="87">
        <f>SUM(CD15:CG15)</f>
        <v>85.5</v>
      </c>
      <c r="CI15" s="17">
        <v>22.1</v>
      </c>
      <c r="CJ15" s="17">
        <v>23.1</v>
      </c>
      <c r="CK15" s="17">
        <v>22</v>
      </c>
      <c r="CL15" s="17">
        <v>21.2</v>
      </c>
      <c r="CM15" s="87">
        <f>SUM(CI15:CL15)</f>
        <v>88.4</v>
      </c>
      <c r="CN15" s="17">
        <v>21.6</v>
      </c>
      <c r="CO15" s="17">
        <v>22.4</v>
      </c>
      <c r="CP15" s="17">
        <v>21</v>
      </c>
      <c r="CQ15" s="17">
        <v>20.9</v>
      </c>
      <c r="CR15" s="87">
        <f>SUM(CN15:CQ15)</f>
        <v>85.9</v>
      </c>
      <c r="CS15" s="17">
        <v>18.8</v>
      </c>
      <c r="CT15" s="17">
        <v>20.5</v>
      </c>
      <c r="CU15" s="17">
        <v>18.5</v>
      </c>
      <c r="CV15" s="17">
        <v>15.1</v>
      </c>
      <c r="CW15" s="87">
        <f>SUM(CS15:CV15)</f>
        <v>72.899999999999991</v>
      </c>
    </row>
    <row r="16" spans="1:101" x14ac:dyDescent="0.2">
      <c r="A16" s="1" t="s">
        <v>97</v>
      </c>
      <c r="B16" s="26">
        <v>1.5</v>
      </c>
      <c r="C16" s="26">
        <v>2.1</v>
      </c>
      <c r="D16" s="26">
        <v>1.3</v>
      </c>
      <c r="E16" s="26">
        <v>1.5</v>
      </c>
      <c r="F16" s="21">
        <f>SUM(B16:E16)</f>
        <v>6.4</v>
      </c>
      <c r="G16" s="26">
        <v>1.9</v>
      </c>
      <c r="H16" s="26">
        <v>1.7</v>
      </c>
      <c r="I16" s="26">
        <v>2.7</v>
      </c>
      <c r="J16" s="26">
        <v>3.2</v>
      </c>
      <c r="K16" s="21">
        <f>SUM(G16:J16)</f>
        <v>9.5</v>
      </c>
      <c r="L16" s="26">
        <v>2.2999999999999998</v>
      </c>
      <c r="M16" s="26">
        <v>2.1</v>
      </c>
      <c r="N16" s="26">
        <v>2.2999999999999998</v>
      </c>
      <c r="O16" s="26">
        <v>2</v>
      </c>
      <c r="P16" s="21">
        <f>SUM(L16:O16)</f>
        <v>8.6999999999999993</v>
      </c>
      <c r="Q16" s="26">
        <v>1.5</v>
      </c>
      <c r="R16" s="26">
        <v>1</v>
      </c>
      <c r="S16" s="26">
        <v>1.3</v>
      </c>
      <c r="T16" s="26">
        <v>1.7</v>
      </c>
      <c r="U16" s="21">
        <f>SUM(Q16:T16)</f>
        <v>5.5</v>
      </c>
      <c r="V16" s="26">
        <v>1.1000000000000001</v>
      </c>
      <c r="W16" s="26">
        <v>1.2</v>
      </c>
      <c r="X16" s="26">
        <v>1.7</v>
      </c>
      <c r="Y16" s="26">
        <v>1.2</v>
      </c>
      <c r="Z16" s="21">
        <f>SUM(V16:Y16)</f>
        <v>5.2</v>
      </c>
      <c r="AA16" s="26">
        <v>1.5</v>
      </c>
      <c r="AB16" s="26">
        <v>2.2999999999999998</v>
      </c>
      <c r="AC16" s="26">
        <v>1.4</v>
      </c>
      <c r="AD16" s="26">
        <v>1.5</v>
      </c>
      <c r="AE16" s="21">
        <f>SUM(AA16:AD16)</f>
        <v>6.6999999999999993</v>
      </c>
      <c r="AF16" s="26">
        <v>1.7</v>
      </c>
      <c r="AG16" s="26">
        <v>1.6</v>
      </c>
      <c r="AH16" s="26">
        <v>1.6</v>
      </c>
      <c r="AI16" s="26">
        <v>1.6</v>
      </c>
      <c r="AJ16" s="21">
        <f>SUM(AF16:AI16)</f>
        <v>6.5</v>
      </c>
      <c r="AK16" s="26">
        <v>2.7</v>
      </c>
      <c r="AL16" s="26">
        <v>1.8</v>
      </c>
      <c r="AM16" s="26">
        <v>1.7</v>
      </c>
      <c r="AN16" s="26">
        <v>1.5</v>
      </c>
      <c r="AO16" s="21">
        <f>SUM(AK16:AN16)</f>
        <v>7.7</v>
      </c>
      <c r="AP16" s="26">
        <v>1.4</v>
      </c>
      <c r="AQ16" s="26">
        <v>1.4</v>
      </c>
      <c r="AR16" s="26">
        <v>1.5</v>
      </c>
      <c r="AS16" s="26">
        <v>1.5</v>
      </c>
      <c r="AT16" s="21">
        <f>SUM(AP16:AS16)</f>
        <v>5.8</v>
      </c>
      <c r="AU16" s="26">
        <v>1.3</v>
      </c>
      <c r="AV16" s="26">
        <v>1</v>
      </c>
      <c r="AW16" s="26">
        <v>1.1000000000000001</v>
      </c>
      <c r="AX16" s="26">
        <v>1</v>
      </c>
      <c r="AY16" s="21">
        <f>SUM(AU16:AX16)</f>
        <v>4.4000000000000004</v>
      </c>
      <c r="AZ16" s="26">
        <v>0.8</v>
      </c>
      <c r="BA16" s="26">
        <v>1</v>
      </c>
      <c r="BB16" s="26">
        <v>0.9</v>
      </c>
      <c r="BC16" s="26">
        <v>1.2</v>
      </c>
      <c r="BD16" s="21">
        <f>SUM(AZ16:BC16)</f>
        <v>3.9000000000000004</v>
      </c>
      <c r="BE16" s="26">
        <v>2</v>
      </c>
      <c r="BF16" s="26">
        <v>1.5</v>
      </c>
      <c r="BG16" s="26">
        <v>1.7</v>
      </c>
      <c r="BH16" s="26">
        <v>2.4</v>
      </c>
      <c r="BI16" s="21">
        <f>SUM(BE16:BH16)</f>
        <v>7.6</v>
      </c>
      <c r="BJ16" s="26">
        <v>2.4</v>
      </c>
      <c r="BK16" s="26">
        <v>2.4</v>
      </c>
      <c r="BL16" s="26">
        <v>2</v>
      </c>
      <c r="BM16" s="26">
        <v>1.6</v>
      </c>
      <c r="BN16" s="21">
        <f>SUM(BJ16:BM16)</f>
        <v>8.4</v>
      </c>
      <c r="BO16" s="26">
        <v>1.4</v>
      </c>
      <c r="BP16" s="26">
        <v>2.6</v>
      </c>
      <c r="BQ16" s="26">
        <v>1.5</v>
      </c>
      <c r="BR16" s="26">
        <v>1.9</v>
      </c>
      <c r="BS16" s="21">
        <f>SUM(BO16:BR16)</f>
        <v>7.4</v>
      </c>
      <c r="BT16" s="26">
        <v>0.9</v>
      </c>
      <c r="BU16" s="26">
        <v>1</v>
      </c>
      <c r="BV16" s="26">
        <v>0.5</v>
      </c>
      <c r="BW16" s="26">
        <v>0.7</v>
      </c>
      <c r="BX16" s="88">
        <f>SUM(BT16:BW16)</f>
        <v>3.0999999999999996</v>
      </c>
      <c r="BY16" s="26">
        <v>0.9</v>
      </c>
      <c r="BZ16" s="26">
        <v>0.8</v>
      </c>
      <c r="CA16" s="26">
        <v>0.6</v>
      </c>
      <c r="CB16" s="26">
        <v>0.3</v>
      </c>
      <c r="CC16" s="88">
        <f>SUM(BY16:CB16)</f>
        <v>2.6</v>
      </c>
      <c r="CD16" s="26">
        <v>1.2</v>
      </c>
      <c r="CE16" s="26">
        <v>1.1000000000000001</v>
      </c>
      <c r="CF16" s="26">
        <v>0.8</v>
      </c>
      <c r="CG16" s="26">
        <v>1</v>
      </c>
      <c r="CH16" s="88">
        <f>SUM(CD16:CG16)</f>
        <v>4.0999999999999996</v>
      </c>
      <c r="CI16" s="26">
        <v>1.1000000000000001</v>
      </c>
      <c r="CJ16" s="26">
        <v>1.1000000000000001</v>
      </c>
      <c r="CK16" s="26">
        <v>1.5</v>
      </c>
      <c r="CL16" s="26">
        <v>1.7</v>
      </c>
      <c r="CM16" s="88">
        <f>SUM(CI16:CL16)</f>
        <v>5.4</v>
      </c>
      <c r="CN16" s="26">
        <v>1</v>
      </c>
      <c r="CO16" s="26">
        <v>2.4</v>
      </c>
      <c r="CP16" s="26">
        <v>1</v>
      </c>
      <c r="CQ16" s="26">
        <v>2.2000000000000002</v>
      </c>
      <c r="CR16" s="88">
        <f>SUM(CN16:CQ16)</f>
        <v>6.6000000000000005</v>
      </c>
      <c r="CS16" s="26">
        <v>1</v>
      </c>
      <c r="CT16" s="26">
        <v>1.8</v>
      </c>
      <c r="CU16" s="26">
        <v>1.8</v>
      </c>
      <c r="CV16" s="26">
        <v>2</v>
      </c>
      <c r="CW16" s="88">
        <f>SUM(CS16:CV16)</f>
        <v>6.6</v>
      </c>
    </row>
    <row r="17" spans="1:101" x14ac:dyDescent="0.2">
      <c r="A17" s="1" t="s">
        <v>98</v>
      </c>
      <c r="B17" s="17">
        <f t="shared" ref="B17:AG17" si="34">+B13-B15+B16</f>
        <v>65.200000000000045</v>
      </c>
      <c r="C17" s="17">
        <f t="shared" si="34"/>
        <v>83.199999999999989</v>
      </c>
      <c r="D17" s="17">
        <f t="shared" si="34"/>
        <v>109.09999999999998</v>
      </c>
      <c r="E17" s="17">
        <f t="shared" si="34"/>
        <v>81.599999999999994</v>
      </c>
      <c r="F17" s="20">
        <f t="shared" si="34"/>
        <v>339.09999999999945</v>
      </c>
      <c r="G17" s="17">
        <f t="shared" si="34"/>
        <v>80.899999999999878</v>
      </c>
      <c r="H17" s="17">
        <f t="shared" si="34"/>
        <v>75.899999999999991</v>
      </c>
      <c r="I17" s="17">
        <f t="shared" si="34"/>
        <v>94.000000000000014</v>
      </c>
      <c r="J17" s="17">
        <f t="shared" si="34"/>
        <v>-103.39999999999998</v>
      </c>
      <c r="K17" s="20">
        <f t="shared" si="34"/>
        <v>147.40000000000012</v>
      </c>
      <c r="L17" s="17">
        <f t="shared" si="34"/>
        <v>59.299999999999898</v>
      </c>
      <c r="M17" s="17">
        <f t="shared" si="34"/>
        <v>71.399999999999878</v>
      </c>
      <c r="N17" s="17">
        <f t="shared" si="34"/>
        <v>86.600000000000009</v>
      </c>
      <c r="O17" s="17">
        <f t="shared" si="34"/>
        <v>-24.699999999999982</v>
      </c>
      <c r="P17" s="20">
        <f t="shared" si="34"/>
        <v>192.59999999999937</v>
      </c>
      <c r="Q17" s="17">
        <f t="shared" si="34"/>
        <v>9.9999999999999911</v>
      </c>
      <c r="R17" s="17">
        <f t="shared" si="34"/>
        <v>32.699999999999932</v>
      </c>
      <c r="S17" s="17">
        <f t="shared" si="34"/>
        <v>86.999999999999957</v>
      </c>
      <c r="T17" s="17">
        <f t="shared" si="34"/>
        <v>68.700000000000045</v>
      </c>
      <c r="U17" s="20">
        <f t="shared" si="34"/>
        <v>198.40000000000029</v>
      </c>
      <c r="V17" s="17">
        <f t="shared" si="34"/>
        <v>69</v>
      </c>
      <c r="W17" s="17">
        <f t="shared" si="34"/>
        <v>77.099999999999923</v>
      </c>
      <c r="X17" s="17">
        <f t="shared" si="34"/>
        <v>68.000000000000057</v>
      </c>
      <c r="Y17" s="17">
        <f t="shared" si="34"/>
        <v>41.400000000000013</v>
      </c>
      <c r="Z17" s="20">
        <f t="shared" si="34"/>
        <v>255.50000000000011</v>
      </c>
      <c r="AA17" s="17">
        <f t="shared" si="34"/>
        <v>66.2</v>
      </c>
      <c r="AB17" s="17">
        <f t="shared" si="34"/>
        <v>72.000000000000085</v>
      </c>
      <c r="AC17" s="17">
        <f t="shared" si="34"/>
        <v>63.399999999999963</v>
      </c>
      <c r="AD17" s="17">
        <f t="shared" si="34"/>
        <v>4.600000000000005</v>
      </c>
      <c r="AE17" s="20">
        <f t="shared" si="34"/>
        <v>206.20000000000022</v>
      </c>
      <c r="AF17" s="17">
        <f t="shared" si="34"/>
        <v>63.999999999999957</v>
      </c>
      <c r="AG17" s="17">
        <f t="shared" si="34"/>
        <v>77.899999999999949</v>
      </c>
      <c r="AH17" s="17">
        <f t="shared" ref="AH17:BM17" si="35">+AH13-AH15+AH16</f>
        <v>77.899999999999963</v>
      </c>
      <c r="AI17" s="17">
        <f t="shared" si="35"/>
        <v>67.699999999999903</v>
      </c>
      <c r="AJ17" s="20">
        <f t="shared" si="35"/>
        <v>287.50000000000034</v>
      </c>
      <c r="AK17" s="17">
        <f t="shared" si="35"/>
        <v>68.399999999999977</v>
      </c>
      <c r="AL17" s="17">
        <f t="shared" si="35"/>
        <v>82.400000000000063</v>
      </c>
      <c r="AM17" s="17">
        <f t="shared" si="35"/>
        <v>90.500000000000028</v>
      </c>
      <c r="AN17" s="17">
        <f t="shared" si="35"/>
        <v>-3.6999999999999691</v>
      </c>
      <c r="AO17" s="20">
        <f t="shared" si="35"/>
        <v>237.60000000000014</v>
      </c>
      <c r="AP17" s="17">
        <f t="shared" si="35"/>
        <v>76.799999999999969</v>
      </c>
      <c r="AQ17" s="17">
        <f t="shared" si="35"/>
        <v>93.20000000000006</v>
      </c>
      <c r="AR17" s="17">
        <f t="shared" si="35"/>
        <v>66.5</v>
      </c>
      <c r="AS17" s="17">
        <f t="shared" si="35"/>
        <v>58.99999999999995</v>
      </c>
      <c r="AT17" s="20">
        <f t="shared" si="35"/>
        <v>295.50000000000051</v>
      </c>
      <c r="AU17" s="17">
        <f t="shared" si="35"/>
        <v>97.000000000000057</v>
      </c>
      <c r="AV17" s="17">
        <f t="shared" si="35"/>
        <v>102.79999999999988</v>
      </c>
      <c r="AW17" s="17">
        <f t="shared" si="35"/>
        <v>118.2999999999999</v>
      </c>
      <c r="AX17" s="17">
        <f t="shared" si="35"/>
        <v>81.299999999999969</v>
      </c>
      <c r="AY17" s="20">
        <f t="shared" si="35"/>
        <v>399.39999999999924</v>
      </c>
      <c r="AZ17" s="17">
        <f t="shared" si="35"/>
        <v>118.40000000000008</v>
      </c>
      <c r="BA17" s="17">
        <f t="shared" si="35"/>
        <v>145.69999999999982</v>
      </c>
      <c r="BB17" s="17">
        <f t="shared" si="35"/>
        <v>116.49999999999993</v>
      </c>
      <c r="BC17" s="17">
        <f t="shared" si="35"/>
        <v>120.20000000000026</v>
      </c>
      <c r="BD17" s="20">
        <f t="shared" si="35"/>
        <v>500.79999999999956</v>
      </c>
      <c r="BE17" s="17">
        <f t="shared" si="35"/>
        <v>107.09999999999991</v>
      </c>
      <c r="BF17" s="17">
        <f t="shared" si="35"/>
        <v>115.09999999999985</v>
      </c>
      <c r="BG17" s="17">
        <f t="shared" si="35"/>
        <v>107.59999999999981</v>
      </c>
      <c r="BH17" s="17">
        <f t="shared" si="35"/>
        <v>116.60000000000001</v>
      </c>
      <c r="BI17" s="20">
        <f t="shared" si="35"/>
        <v>446.39999999999941</v>
      </c>
      <c r="BJ17" s="17">
        <f t="shared" si="35"/>
        <v>101.29999999999995</v>
      </c>
      <c r="BK17" s="17">
        <f t="shared" si="35"/>
        <v>119.95000000000016</v>
      </c>
      <c r="BL17" s="17">
        <f t="shared" si="35"/>
        <v>118.49999999999986</v>
      </c>
      <c r="BM17" s="17">
        <f t="shared" si="35"/>
        <v>68</v>
      </c>
      <c r="BN17" s="20">
        <f t="shared" ref="BN17:CG17" si="36">+BN13-BN15+BN16</f>
        <v>407.79999999999944</v>
      </c>
      <c r="BO17" s="17">
        <f t="shared" si="36"/>
        <v>79.299999999999812</v>
      </c>
      <c r="BP17" s="17">
        <f t="shared" si="36"/>
        <v>104.60000000000014</v>
      </c>
      <c r="BQ17" s="17">
        <f t="shared" si="36"/>
        <v>117.0999999999998</v>
      </c>
      <c r="BR17" s="17">
        <f t="shared" si="36"/>
        <v>102.50000000000026</v>
      </c>
      <c r="BS17" s="20">
        <f t="shared" si="36"/>
        <v>403.50000000000006</v>
      </c>
      <c r="BT17" s="17">
        <f t="shared" si="36"/>
        <v>58.600000000000051</v>
      </c>
      <c r="BU17" s="17">
        <f t="shared" si="36"/>
        <v>2.2999999999999119</v>
      </c>
      <c r="BV17" s="17">
        <f t="shared" si="36"/>
        <v>129.80000000000007</v>
      </c>
      <c r="BW17" s="17">
        <f t="shared" si="36"/>
        <v>137.2000000000001</v>
      </c>
      <c r="BX17" s="87">
        <f t="shared" si="36"/>
        <v>327.90000000000038</v>
      </c>
      <c r="BY17" s="17">
        <f t="shared" si="36"/>
        <v>109.30000000000011</v>
      </c>
      <c r="BZ17" s="17">
        <f t="shared" si="36"/>
        <v>153.19999999999999</v>
      </c>
      <c r="CA17" s="17">
        <f t="shared" si="36"/>
        <v>125.80000000000013</v>
      </c>
      <c r="CB17" s="17">
        <f t="shared" si="36"/>
        <v>133.80000000000013</v>
      </c>
      <c r="CC17" s="87">
        <f t="shared" si="36"/>
        <v>522.10000000000059</v>
      </c>
      <c r="CD17" s="17">
        <f t="shared" si="36"/>
        <v>118.09999999999997</v>
      </c>
      <c r="CE17" s="17">
        <f t="shared" si="36"/>
        <v>123.00000000000009</v>
      </c>
      <c r="CF17" s="17">
        <f t="shared" si="36"/>
        <v>93.5</v>
      </c>
      <c r="CG17" s="17">
        <f t="shared" si="36"/>
        <v>68.999999999999915</v>
      </c>
      <c r="CH17" s="87">
        <f t="shared" ref="CH17" si="37">+CH13-CH15+CH16</f>
        <v>403.59999999999934</v>
      </c>
      <c r="CI17" s="17">
        <f>+CI13-CI15+CI16</f>
        <v>68.299999999999898</v>
      </c>
      <c r="CJ17" s="17">
        <f>+CJ13-CJ15+CJ16</f>
        <v>73.700000000000017</v>
      </c>
      <c r="CK17" s="17">
        <f>+CK13-CK15+CK16</f>
        <v>70.900000000000063</v>
      </c>
      <c r="CL17" s="17">
        <f>+CL13-CL15+CL16</f>
        <v>-386.30000000000007</v>
      </c>
      <c r="CM17" s="87">
        <f t="shared" ref="CM17" si="38">+CM13-CM15+CM16</f>
        <v>-173.39999999999981</v>
      </c>
      <c r="CN17" s="17">
        <f>+CN13-CN15+CN16</f>
        <v>42.400000000000084</v>
      </c>
      <c r="CO17" s="17">
        <f>+CO13-CO15+CO16</f>
        <v>-634.30000000000018</v>
      </c>
      <c r="CP17" s="17">
        <f>+CP13-CP15+CP16</f>
        <v>57.700000000000017</v>
      </c>
      <c r="CQ17" s="17">
        <f>+CQ13-CQ15+CQ16</f>
        <v>25.000000000000131</v>
      </c>
      <c r="CR17" s="87">
        <f t="shared" ref="CR17" si="39">+CR13-CR15+CR16</f>
        <v>-509.19999999999959</v>
      </c>
      <c r="CS17" s="17">
        <f>+CS13-CS15+CS16</f>
        <v>45.100000000000009</v>
      </c>
      <c r="CT17" s="17">
        <f>+CT13-CT15+CT16</f>
        <v>71.700000000000017</v>
      </c>
      <c r="CU17" s="17">
        <f>+CU13-CU15+CU16</f>
        <v>154.40000000000006</v>
      </c>
      <c r="CV17" s="17">
        <f>+CV13-CV15+CV16</f>
        <v>18.500000000000071</v>
      </c>
      <c r="CW17" s="87">
        <f t="shared" ref="CW17" si="40">+CW13-CW15+CW16</f>
        <v>289.69999999999993</v>
      </c>
    </row>
    <row r="18" spans="1:101" x14ac:dyDescent="0.2">
      <c r="A18" s="1" t="s">
        <v>99</v>
      </c>
      <c r="B18" s="26">
        <v>20</v>
      </c>
      <c r="C18" s="26">
        <v>17.100000000000001</v>
      </c>
      <c r="D18" s="26">
        <v>35.5</v>
      </c>
      <c r="E18" s="26">
        <v>26.7</v>
      </c>
      <c r="F18" s="21">
        <f>SUM(B18:E18)</f>
        <v>99.3</v>
      </c>
      <c r="G18" s="26">
        <v>23.6</v>
      </c>
      <c r="H18" s="26">
        <v>18</v>
      </c>
      <c r="I18" s="26">
        <v>28.5</v>
      </c>
      <c r="J18" s="26">
        <v>12.3</v>
      </c>
      <c r="K18" s="21">
        <f>SUM(G18:J18)</f>
        <v>82.399999999999991</v>
      </c>
      <c r="L18" s="26">
        <v>18.899999999999999</v>
      </c>
      <c r="M18" s="26">
        <v>26.19999</v>
      </c>
      <c r="N18" s="26">
        <v>37.1</v>
      </c>
      <c r="O18" s="26">
        <v>-17.100000000000001</v>
      </c>
      <c r="P18" s="21">
        <f>SUM(L18:O18)</f>
        <v>65.099989999999991</v>
      </c>
      <c r="Q18" s="26">
        <v>6.7</v>
      </c>
      <c r="R18" s="26">
        <v>13.6</v>
      </c>
      <c r="S18" s="26">
        <v>30.8</v>
      </c>
      <c r="T18" s="26">
        <v>26.2</v>
      </c>
      <c r="U18" s="21">
        <f>SUM(Q18:T18)</f>
        <v>77.3</v>
      </c>
      <c r="V18" s="26">
        <v>21.5</v>
      </c>
      <c r="W18" s="26">
        <v>23.5</v>
      </c>
      <c r="X18" s="26">
        <v>18.100000000000001</v>
      </c>
      <c r="Y18" s="26">
        <v>8.8000000000000007</v>
      </c>
      <c r="Z18" s="21">
        <f>SUM(V18:Y18)</f>
        <v>71.900000000000006</v>
      </c>
      <c r="AA18" s="26">
        <v>19.899999999999999</v>
      </c>
      <c r="AB18" s="26">
        <v>16.5</v>
      </c>
      <c r="AC18" s="26">
        <v>18.100000000000001</v>
      </c>
      <c r="AD18" s="26">
        <v>-4.7</v>
      </c>
      <c r="AE18" s="21">
        <f>SUM(AA18:AD18)</f>
        <v>49.8</v>
      </c>
      <c r="AF18" s="26">
        <v>20.2</v>
      </c>
      <c r="AG18" s="26">
        <v>19.899999999999999</v>
      </c>
      <c r="AH18" s="26">
        <v>26.8</v>
      </c>
      <c r="AI18" s="26">
        <v>-11.2</v>
      </c>
      <c r="AJ18" s="21">
        <f>SUM(AF18:AI18)</f>
        <v>55.699999999999989</v>
      </c>
      <c r="AK18" s="26">
        <v>18.7</v>
      </c>
      <c r="AL18" s="26">
        <v>22.8</v>
      </c>
      <c r="AM18" s="26">
        <v>24</v>
      </c>
      <c r="AN18" s="26">
        <v>-14.2</v>
      </c>
      <c r="AO18" s="21">
        <f>SUM(AK18:AN18)</f>
        <v>51.3</v>
      </c>
      <c r="AP18" s="26">
        <v>20.8</v>
      </c>
      <c r="AQ18" s="26">
        <v>23.6</v>
      </c>
      <c r="AR18" s="26">
        <v>13.1</v>
      </c>
      <c r="AS18" s="26">
        <v>12.8</v>
      </c>
      <c r="AT18" s="21">
        <f>SUM(AP18:AS18)</f>
        <v>70.300000000000011</v>
      </c>
      <c r="AU18" s="26">
        <v>26.8</v>
      </c>
      <c r="AV18" s="26">
        <v>30</v>
      </c>
      <c r="AW18" s="26">
        <v>30.7</v>
      </c>
      <c r="AX18" s="26">
        <v>15.2</v>
      </c>
      <c r="AY18" s="21">
        <f>SUM(AU18:AX18)</f>
        <v>102.7</v>
      </c>
      <c r="AZ18" s="26">
        <v>27.5</v>
      </c>
      <c r="BA18" s="26">
        <v>40.9</v>
      </c>
      <c r="BB18" s="26">
        <v>25.9</v>
      </c>
      <c r="BC18" s="26">
        <v>30.9</v>
      </c>
      <c r="BD18" s="21">
        <f>SUM(AZ18:BC18)</f>
        <v>125.20000000000002</v>
      </c>
      <c r="BE18" s="53">
        <v>21.1</v>
      </c>
      <c r="BF18" s="26">
        <v>26.5</v>
      </c>
      <c r="BG18" s="26">
        <v>19.8</v>
      </c>
      <c r="BH18" s="26">
        <v>71</v>
      </c>
      <c r="BI18" s="21">
        <f>SUM(BE18:BH18)</f>
        <v>138.4</v>
      </c>
      <c r="BJ18" s="53">
        <v>19</v>
      </c>
      <c r="BK18" s="26">
        <v>25.5</v>
      </c>
      <c r="BL18" s="26">
        <v>24.6</v>
      </c>
      <c r="BM18" s="26">
        <v>15</v>
      </c>
      <c r="BN18" s="21">
        <f>SUM(BJ18:BM18)</f>
        <v>84.1</v>
      </c>
      <c r="BO18" s="26">
        <v>17.2</v>
      </c>
      <c r="BP18" s="26">
        <v>25.4</v>
      </c>
      <c r="BQ18" s="26">
        <v>22</v>
      </c>
      <c r="BR18" s="26">
        <v>24.8</v>
      </c>
      <c r="BS18" s="21">
        <f>SUM(BO18:BR18)</f>
        <v>89.399999999999991</v>
      </c>
      <c r="BT18" s="26">
        <v>14.5</v>
      </c>
      <c r="BU18" s="26">
        <v>8.4</v>
      </c>
      <c r="BV18" s="26">
        <v>22.7</v>
      </c>
      <c r="BW18" s="26">
        <v>29.2</v>
      </c>
      <c r="BX18" s="88">
        <f>SUM(BT18:BW18)</f>
        <v>74.8</v>
      </c>
      <c r="BY18" s="26">
        <v>21.8</v>
      </c>
      <c r="BZ18" s="26">
        <v>40.9</v>
      </c>
      <c r="CA18" s="26">
        <v>28.6</v>
      </c>
      <c r="CB18" s="26">
        <v>28.2</v>
      </c>
      <c r="CC18" s="88">
        <f>SUM(BY18:CB18)</f>
        <v>119.50000000000001</v>
      </c>
      <c r="CD18" s="26">
        <v>27.7</v>
      </c>
      <c r="CE18" s="26">
        <v>27.8</v>
      </c>
      <c r="CF18" s="26">
        <v>22</v>
      </c>
      <c r="CG18" s="26">
        <v>16.2</v>
      </c>
      <c r="CH18" s="88">
        <f>SUM(CD18:CG18)</f>
        <v>93.7</v>
      </c>
      <c r="CI18" s="26">
        <v>14.8</v>
      </c>
      <c r="CJ18" s="26">
        <v>19.5</v>
      </c>
      <c r="CK18" s="26">
        <v>18</v>
      </c>
      <c r="CL18" s="26">
        <v>-88.9</v>
      </c>
      <c r="CM18" s="88">
        <f>SUM(CI18:CL18)</f>
        <v>-36.600000000000009</v>
      </c>
      <c r="CN18" s="26">
        <v>10.8</v>
      </c>
      <c r="CO18" s="26">
        <v>-32.200000000000003</v>
      </c>
      <c r="CP18" s="26">
        <v>12.8</v>
      </c>
      <c r="CQ18" s="26">
        <v>10.8</v>
      </c>
      <c r="CR18" s="88">
        <f>SUM(CN18:CQ18)</f>
        <v>2.1999999999999993</v>
      </c>
      <c r="CS18" s="26">
        <v>14.5</v>
      </c>
      <c r="CT18" s="26">
        <v>19.2</v>
      </c>
      <c r="CU18" s="26">
        <v>27.2</v>
      </c>
      <c r="CV18" s="26">
        <v>-6.6</v>
      </c>
      <c r="CW18" s="88">
        <f>SUM(CS18:CV18)</f>
        <v>54.300000000000004</v>
      </c>
    </row>
    <row r="19" spans="1:101" x14ac:dyDescent="0.2">
      <c r="A19" s="1" t="s">
        <v>100</v>
      </c>
      <c r="B19" s="17">
        <f t="shared" ref="B19:AG19" si="41">B17-B18</f>
        <v>45.200000000000045</v>
      </c>
      <c r="C19" s="17">
        <f t="shared" si="41"/>
        <v>66.099999999999994</v>
      </c>
      <c r="D19" s="17">
        <f t="shared" si="41"/>
        <v>73.59999999999998</v>
      </c>
      <c r="E19" s="17">
        <f t="shared" si="41"/>
        <v>54.899999999999991</v>
      </c>
      <c r="F19" s="20">
        <f t="shared" si="41"/>
        <v>239.79999999999944</v>
      </c>
      <c r="G19" s="17">
        <f t="shared" si="41"/>
        <v>57.299999999999876</v>
      </c>
      <c r="H19" s="17">
        <f t="shared" si="41"/>
        <v>57.899999999999991</v>
      </c>
      <c r="I19" s="17">
        <f t="shared" si="41"/>
        <v>65.500000000000014</v>
      </c>
      <c r="J19" s="17">
        <f t="shared" si="41"/>
        <v>-115.69999999999997</v>
      </c>
      <c r="K19" s="20">
        <f t="shared" si="41"/>
        <v>65.000000000000128</v>
      </c>
      <c r="L19" s="17">
        <f t="shared" si="41"/>
        <v>40.399999999999899</v>
      </c>
      <c r="M19" s="17">
        <f t="shared" si="41"/>
        <v>45.200009999999878</v>
      </c>
      <c r="N19" s="17">
        <f t="shared" si="41"/>
        <v>49.500000000000007</v>
      </c>
      <c r="O19" s="17">
        <f t="shared" si="41"/>
        <v>-7.5999999999999801</v>
      </c>
      <c r="P19" s="20">
        <f t="shared" si="41"/>
        <v>127.50000999999938</v>
      </c>
      <c r="Q19" s="17">
        <f t="shared" si="41"/>
        <v>3.2999999999999909</v>
      </c>
      <c r="R19" s="17">
        <f t="shared" si="41"/>
        <v>19.09999999999993</v>
      </c>
      <c r="S19" s="17">
        <f t="shared" si="41"/>
        <v>56.19999999999996</v>
      </c>
      <c r="T19" s="17">
        <f t="shared" si="41"/>
        <v>42.500000000000043</v>
      </c>
      <c r="U19" s="20">
        <f t="shared" si="41"/>
        <v>121.10000000000029</v>
      </c>
      <c r="V19" s="17">
        <f t="shared" si="41"/>
        <v>47.5</v>
      </c>
      <c r="W19" s="17">
        <f t="shared" si="41"/>
        <v>53.599999999999923</v>
      </c>
      <c r="X19" s="17">
        <f t="shared" si="41"/>
        <v>49.900000000000055</v>
      </c>
      <c r="Y19" s="17">
        <f t="shared" si="41"/>
        <v>32.600000000000009</v>
      </c>
      <c r="Z19" s="20">
        <f t="shared" si="41"/>
        <v>183.60000000000011</v>
      </c>
      <c r="AA19" s="17">
        <f t="shared" si="41"/>
        <v>46.300000000000004</v>
      </c>
      <c r="AB19" s="17">
        <f t="shared" si="41"/>
        <v>55.500000000000085</v>
      </c>
      <c r="AC19" s="17">
        <f t="shared" si="41"/>
        <v>45.299999999999962</v>
      </c>
      <c r="AD19" s="17">
        <f t="shared" si="41"/>
        <v>9.3000000000000043</v>
      </c>
      <c r="AE19" s="20">
        <f t="shared" si="41"/>
        <v>156.4000000000002</v>
      </c>
      <c r="AF19" s="17">
        <f t="shared" si="41"/>
        <v>43.799999999999955</v>
      </c>
      <c r="AG19" s="17">
        <f t="shared" si="41"/>
        <v>57.99999999999995</v>
      </c>
      <c r="AH19" s="17">
        <f t="shared" ref="AH19:BM19" si="42">AH17-AH18</f>
        <v>51.099999999999966</v>
      </c>
      <c r="AI19" s="17">
        <f t="shared" si="42"/>
        <v>78.899999999999906</v>
      </c>
      <c r="AJ19" s="20">
        <f t="shared" si="42"/>
        <v>231.80000000000035</v>
      </c>
      <c r="AK19" s="17">
        <f t="shared" si="42"/>
        <v>49.699999999999974</v>
      </c>
      <c r="AL19" s="17">
        <f t="shared" si="42"/>
        <v>59.600000000000065</v>
      </c>
      <c r="AM19" s="17">
        <f t="shared" si="42"/>
        <v>66.500000000000028</v>
      </c>
      <c r="AN19" s="17">
        <f t="shared" si="42"/>
        <v>10.50000000000003</v>
      </c>
      <c r="AO19" s="20">
        <f t="shared" si="42"/>
        <v>186.30000000000013</v>
      </c>
      <c r="AP19" s="17">
        <f t="shared" si="42"/>
        <v>55.999999999999972</v>
      </c>
      <c r="AQ19" s="17">
        <f t="shared" si="42"/>
        <v>69.600000000000051</v>
      </c>
      <c r="AR19" s="17">
        <f t="shared" si="42"/>
        <v>53.4</v>
      </c>
      <c r="AS19" s="17">
        <f t="shared" si="42"/>
        <v>46.199999999999946</v>
      </c>
      <c r="AT19" s="20">
        <f t="shared" si="42"/>
        <v>225.2000000000005</v>
      </c>
      <c r="AU19" s="17">
        <f t="shared" si="42"/>
        <v>70.20000000000006</v>
      </c>
      <c r="AV19" s="17">
        <f t="shared" si="42"/>
        <v>72.799999999999883</v>
      </c>
      <c r="AW19" s="17">
        <f t="shared" si="42"/>
        <v>87.599999999999895</v>
      </c>
      <c r="AX19" s="17">
        <f t="shared" si="42"/>
        <v>66.099999999999966</v>
      </c>
      <c r="AY19" s="20">
        <f t="shared" si="42"/>
        <v>296.69999999999925</v>
      </c>
      <c r="AZ19" s="17">
        <f t="shared" si="42"/>
        <v>90.900000000000077</v>
      </c>
      <c r="BA19" s="17">
        <f t="shared" si="42"/>
        <v>104.79999999999981</v>
      </c>
      <c r="BB19" s="17">
        <f t="shared" si="42"/>
        <v>90.599999999999937</v>
      </c>
      <c r="BC19" s="17">
        <f t="shared" si="42"/>
        <v>89.300000000000267</v>
      </c>
      <c r="BD19" s="20">
        <f t="shared" si="42"/>
        <v>375.59999999999957</v>
      </c>
      <c r="BE19" s="17">
        <f t="shared" si="42"/>
        <v>85.999999999999915</v>
      </c>
      <c r="BF19" s="17">
        <f t="shared" si="42"/>
        <v>88.599999999999852</v>
      </c>
      <c r="BG19" s="17">
        <f t="shared" si="42"/>
        <v>87.799999999999812</v>
      </c>
      <c r="BH19" s="17">
        <f t="shared" si="42"/>
        <v>45.600000000000009</v>
      </c>
      <c r="BI19" s="20">
        <f t="shared" si="42"/>
        <v>307.99999999999943</v>
      </c>
      <c r="BJ19" s="17">
        <f t="shared" si="42"/>
        <v>82.299999999999955</v>
      </c>
      <c r="BK19" s="17">
        <f t="shared" si="42"/>
        <v>94.450000000000159</v>
      </c>
      <c r="BL19" s="17">
        <f t="shared" si="42"/>
        <v>93.899999999999864</v>
      </c>
      <c r="BM19" s="17">
        <f t="shared" si="42"/>
        <v>53</v>
      </c>
      <c r="BN19" s="20">
        <f t="shared" ref="BN19:CG19" si="43">BN17-BN18</f>
        <v>323.69999999999948</v>
      </c>
      <c r="BO19" s="17">
        <f t="shared" si="43"/>
        <v>62.09999999999981</v>
      </c>
      <c r="BP19" s="17">
        <f t="shared" si="43"/>
        <v>79.200000000000131</v>
      </c>
      <c r="BQ19" s="17">
        <f t="shared" si="43"/>
        <v>95.099999999999795</v>
      </c>
      <c r="BR19" s="17">
        <f t="shared" si="43"/>
        <v>77.700000000000259</v>
      </c>
      <c r="BS19" s="20">
        <f t="shared" si="43"/>
        <v>314.10000000000008</v>
      </c>
      <c r="BT19" s="17">
        <f t="shared" si="43"/>
        <v>44.100000000000051</v>
      </c>
      <c r="BU19" s="17">
        <f t="shared" si="43"/>
        <v>-6.1000000000000885</v>
      </c>
      <c r="BV19" s="17">
        <f t="shared" si="43"/>
        <v>107.10000000000007</v>
      </c>
      <c r="BW19" s="17">
        <f t="shared" si="43"/>
        <v>108.0000000000001</v>
      </c>
      <c r="BX19" s="87">
        <f t="shared" si="43"/>
        <v>253.10000000000036</v>
      </c>
      <c r="BY19" s="17">
        <f t="shared" si="43"/>
        <v>87.500000000000114</v>
      </c>
      <c r="BZ19" s="17">
        <f t="shared" si="43"/>
        <v>112.29999999999998</v>
      </c>
      <c r="CA19" s="17">
        <f t="shared" si="43"/>
        <v>97.200000000000131</v>
      </c>
      <c r="CB19" s="17">
        <f t="shared" si="43"/>
        <v>105.60000000000012</v>
      </c>
      <c r="CC19" s="87">
        <f t="shared" si="43"/>
        <v>402.60000000000059</v>
      </c>
      <c r="CD19" s="17">
        <f t="shared" si="43"/>
        <v>90.399999999999963</v>
      </c>
      <c r="CE19" s="17">
        <f t="shared" si="43"/>
        <v>95.200000000000088</v>
      </c>
      <c r="CF19" s="17">
        <f t="shared" si="43"/>
        <v>71.5</v>
      </c>
      <c r="CG19" s="17">
        <f t="shared" si="43"/>
        <v>52.799999999999912</v>
      </c>
      <c r="CH19" s="87">
        <f t="shared" ref="CH19" si="44">CH17-CH18</f>
        <v>309.89999999999935</v>
      </c>
      <c r="CI19" s="17">
        <f>CI17-CI18</f>
        <v>53.499999999999901</v>
      </c>
      <c r="CJ19" s="17">
        <f>CJ17-CJ18</f>
        <v>54.200000000000017</v>
      </c>
      <c r="CK19" s="17">
        <f>CK17-CK18</f>
        <v>52.900000000000063</v>
      </c>
      <c r="CL19" s="17">
        <f>CL17-CL18</f>
        <v>-297.40000000000009</v>
      </c>
      <c r="CM19" s="87">
        <f t="shared" ref="CM19" si="45">CM17-CM18</f>
        <v>-136.79999999999978</v>
      </c>
      <c r="CN19" s="17">
        <f>CN17-CN18</f>
        <v>31.600000000000083</v>
      </c>
      <c r="CO19" s="17">
        <f>CO17-CO18</f>
        <v>-602.10000000000014</v>
      </c>
      <c r="CP19" s="17">
        <f>CP17-CP18</f>
        <v>44.90000000000002</v>
      </c>
      <c r="CQ19" s="17">
        <f>CQ17-CQ18</f>
        <v>14.200000000000131</v>
      </c>
      <c r="CR19" s="87">
        <f t="shared" ref="CR19" si="46">CR17-CR18</f>
        <v>-511.39999999999958</v>
      </c>
      <c r="CS19" s="17">
        <f>CS17-CS18</f>
        <v>30.600000000000009</v>
      </c>
      <c r="CT19" s="17">
        <f>CT17-CT18</f>
        <v>52.500000000000014</v>
      </c>
      <c r="CU19" s="17">
        <f>CU17-CU18</f>
        <v>127.20000000000006</v>
      </c>
      <c r="CV19" s="17">
        <f>CV17-CV18</f>
        <v>25.100000000000072</v>
      </c>
      <c r="CW19" s="87">
        <f t="shared" ref="CW19" si="47">CW17-CW18</f>
        <v>235.39999999999992</v>
      </c>
    </row>
    <row r="20" spans="1:101" x14ac:dyDescent="0.2">
      <c r="A20" s="1" t="s">
        <v>101</v>
      </c>
      <c r="B20" s="26">
        <v>17.7</v>
      </c>
      <c r="C20" s="26">
        <v>19.100000000000001</v>
      </c>
      <c r="D20" s="26">
        <v>11.4</v>
      </c>
      <c r="E20" s="26">
        <v>16</v>
      </c>
      <c r="F20" s="21">
        <f>SUM(B20:E20)</f>
        <v>64.199999999999989</v>
      </c>
      <c r="G20" s="26">
        <v>19.3</v>
      </c>
      <c r="H20" s="26">
        <v>3.7</v>
      </c>
      <c r="I20" s="26">
        <v>1.6</v>
      </c>
      <c r="J20" s="26">
        <v>-95.2</v>
      </c>
      <c r="K20" s="21">
        <f>SUM(G20:J20)</f>
        <v>-70.599999999999994</v>
      </c>
      <c r="L20" s="26">
        <v>4.2</v>
      </c>
      <c r="M20" s="26">
        <v>2.8</v>
      </c>
      <c r="N20" s="26">
        <v>-15.7</v>
      </c>
      <c r="O20" s="26">
        <v>-9.8000000000000007</v>
      </c>
      <c r="P20" s="21">
        <f>SUM(L20:O20)</f>
        <v>-18.5</v>
      </c>
      <c r="Q20" s="26">
        <v>-0.3</v>
      </c>
      <c r="R20" s="26">
        <v>0.1</v>
      </c>
      <c r="S20" s="26">
        <v>-0.5</v>
      </c>
      <c r="T20" s="26">
        <v>-5.4</v>
      </c>
      <c r="U20" s="21">
        <f>SUM(Q20:T20)</f>
        <v>-6.1000000000000005</v>
      </c>
      <c r="V20" s="26">
        <v>-0.6</v>
      </c>
      <c r="W20" s="26">
        <v>0.5</v>
      </c>
      <c r="X20" s="26">
        <v>-0.6</v>
      </c>
      <c r="Y20" s="26">
        <v>-0.1</v>
      </c>
      <c r="Z20" s="21">
        <f>SUM(V20:Y20)</f>
        <v>-0.79999999999999993</v>
      </c>
      <c r="AA20" s="26">
        <v>0</v>
      </c>
      <c r="AB20" s="26">
        <v>0</v>
      </c>
      <c r="AC20" s="26">
        <v>0</v>
      </c>
      <c r="AD20" s="26">
        <v>0</v>
      </c>
      <c r="AE20" s="21">
        <f>SUM(AA20:AD20)</f>
        <v>0</v>
      </c>
      <c r="AF20" s="26">
        <v>0.7</v>
      </c>
      <c r="AG20" s="26">
        <v>7.4</v>
      </c>
      <c r="AH20" s="26">
        <v>15.5</v>
      </c>
      <c r="AI20" s="26">
        <v>-4.9000000000000004</v>
      </c>
      <c r="AJ20" s="21">
        <f>SUM(AF20:AI20)</f>
        <v>18.700000000000003</v>
      </c>
      <c r="AK20" s="26">
        <v>-0.2</v>
      </c>
      <c r="AL20" s="26">
        <v>12.3</v>
      </c>
      <c r="AM20" s="26">
        <v>5.5</v>
      </c>
      <c r="AN20" s="26">
        <v>-4.2</v>
      </c>
      <c r="AO20" s="21">
        <f>SUM(AK20:AN20)</f>
        <v>13.400000000000002</v>
      </c>
      <c r="AP20" s="26">
        <v>-2.2999999999999998</v>
      </c>
      <c r="AQ20" s="26">
        <v>-92.7</v>
      </c>
      <c r="AR20" s="26">
        <v>-4.4000000000000004</v>
      </c>
      <c r="AS20" s="26">
        <v>-24.6</v>
      </c>
      <c r="AT20" s="21">
        <f>SUM(AP20:AS20)</f>
        <v>-124</v>
      </c>
      <c r="AU20" s="26">
        <v>-0.5</v>
      </c>
      <c r="AV20" s="26">
        <v>1.8</v>
      </c>
      <c r="AW20" s="26">
        <v>-0.1</v>
      </c>
      <c r="AX20" s="26">
        <v>0</v>
      </c>
      <c r="AY20" s="21">
        <f>SUM(AU20:AX20)</f>
        <v>1.2</v>
      </c>
      <c r="AZ20" s="26">
        <v>0</v>
      </c>
      <c r="BA20" s="26">
        <v>20.399999999999999</v>
      </c>
      <c r="BB20" s="26">
        <v>0</v>
      </c>
      <c r="BC20" s="26">
        <v>-1.3</v>
      </c>
      <c r="BD20" s="21">
        <f>SUM(AZ20:BC20)</f>
        <v>19.099999999999998</v>
      </c>
      <c r="BE20" s="26">
        <v>0</v>
      </c>
      <c r="BF20" s="26">
        <v>0</v>
      </c>
      <c r="BG20" s="26">
        <v>-0.9</v>
      </c>
      <c r="BH20" s="26">
        <v>0</v>
      </c>
      <c r="BI20" s="21">
        <f>SUM(BE20:BH20)</f>
        <v>-0.9</v>
      </c>
      <c r="BJ20" s="26">
        <v>0</v>
      </c>
      <c r="BK20" s="26">
        <v>0</v>
      </c>
      <c r="BL20" s="26">
        <v>0</v>
      </c>
      <c r="BM20" s="26">
        <v>0</v>
      </c>
      <c r="BN20" s="21">
        <f>SUM(BJ20:BM20)</f>
        <v>0</v>
      </c>
      <c r="BO20" s="26">
        <v>0</v>
      </c>
      <c r="BP20" s="26">
        <v>0</v>
      </c>
      <c r="BQ20" s="26">
        <v>0</v>
      </c>
      <c r="BR20" s="26">
        <v>0</v>
      </c>
      <c r="BS20" s="21">
        <f>SUM(BO20:BR20)</f>
        <v>0</v>
      </c>
      <c r="BT20" s="26">
        <v>0</v>
      </c>
      <c r="BU20" s="26">
        <v>0</v>
      </c>
      <c r="BV20" s="26">
        <v>0</v>
      </c>
      <c r="BW20" s="26">
        <v>0</v>
      </c>
      <c r="BX20" s="88">
        <f>SUM(BT20:BW20)</f>
        <v>0</v>
      </c>
      <c r="BY20" s="26">
        <v>0</v>
      </c>
      <c r="BZ20" s="26">
        <v>0</v>
      </c>
      <c r="CA20" s="26">
        <v>0</v>
      </c>
      <c r="CB20" s="26">
        <v>0</v>
      </c>
      <c r="CC20" s="88">
        <f>SUM(BY20:CB20)</f>
        <v>0</v>
      </c>
      <c r="CD20" s="26">
        <v>0</v>
      </c>
      <c r="CE20" s="26">
        <v>0</v>
      </c>
      <c r="CF20" s="26">
        <v>0</v>
      </c>
      <c r="CG20" s="26">
        <v>0</v>
      </c>
      <c r="CH20" s="88">
        <f>SUM(CD20:CG20)</f>
        <v>0</v>
      </c>
      <c r="CI20" s="26">
        <v>0</v>
      </c>
      <c r="CJ20" s="26">
        <v>0</v>
      </c>
      <c r="CK20" s="26">
        <v>0</v>
      </c>
      <c r="CL20" s="26">
        <v>0</v>
      </c>
      <c r="CM20" s="88">
        <f>SUM(CI20:CL20)</f>
        <v>0</v>
      </c>
      <c r="CN20" s="26">
        <v>0</v>
      </c>
      <c r="CO20" s="26">
        <v>0</v>
      </c>
      <c r="CP20" s="26">
        <v>0</v>
      </c>
      <c r="CQ20" s="26">
        <v>0</v>
      </c>
      <c r="CR20" s="88">
        <f>SUM(CN20:CQ20)</f>
        <v>0</v>
      </c>
      <c r="CS20" s="26">
        <v>0</v>
      </c>
      <c r="CT20" s="26">
        <v>0</v>
      </c>
      <c r="CU20" s="26">
        <v>0</v>
      </c>
      <c r="CV20" s="26">
        <v>0</v>
      </c>
      <c r="CW20" s="88">
        <f>SUM(CS20:CV20)</f>
        <v>0</v>
      </c>
    </row>
    <row r="21" spans="1:101" x14ac:dyDescent="0.2">
      <c r="A21" s="1" t="s">
        <v>102</v>
      </c>
      <c r="B21" s="17">
        <f t="shared" ref="B21:U21" si="48">+B19+B20</f>
        <v>62.900000000000048</v>
      </c>
      <c r="C21" s="17">
        <f t="shared" si="48"/>
        <v>85.199999999999989</v>
      </c>
      <c r="D21" s="17">
        <f t="shared" si="48"/>
        <v>84.999999999999986</v>
      </c>
      <c r="E21" s="17">
        <f t="shared" si="48"/>
        <v>70.899999999999991</v>
      </c>
      <c r="F21" s="20">
        <f t="shared" si="48"/>
        <v>303.99999999999943</v>
      </c>
      <c r="G21" s="17">
        <f t="shared" si="48"/>
        <v>76.599999999999881</v>
      </c>
      <c r="H21" s="17">
        <f t="shared" si="48"/>
        <v>61.599999999999994</v>
      </c>
      <c r="I21" s="17">
        <f t="shared" si="48"/>
        <v>67.100000000000009</v>
      </c>
      <c r="J21" s="17">
        <f t="shared" si="48"/>
        <v>-210.89999999999998</v>
      </c>
      <c r="K21" s="20">
        <f t="shared" si="48"/>
        <v>-5.5999999999998664</v>
      </c>
      <c r="L21" s="17">
        <f t="shared" si="48"/>
        <v>44.599999999999902</v>
      </c>
      <c r="M21" s="17">
        <f t="shared" si="48"/>
        <v>48.000009999999875</v>
      </c>
      <c r="N21" s="17">
        <f t="shared" si="48"/>
        <v>33.800000000000011</v>
      </c>
      <c r="O21" s="17">
        <f t="shared" si="48"/>
        <v>-17.399999999999981</v>
      </c>
      <c r="P21" s="20">
        <f t="shared" si="48"/>
        <v>109.00000999999938</v>
      </c>
      <c r="Q21" s="17">
        <f t="shared" si="48"/>
        <v>2.9999999999999911</v>
      </c>
      <c r="R21" s="17">
        <f t="shared" si="48"/>
        <v>19.199999999999932</v>
      </c>
      <c r="S21" s="17">
        <f t="shared" si="48"/>
        <v>55.69999999999996</v>
      </c>
      <c r="T21" s="17">
        <f t="shared" si="48"/>
        <v>37.100000000000044</v>
      </c>
      <c r="U21" s="20">
        <f t="shared" si="48"/>
        <v>115.0000000000003</v>
      </c>
      <c r="V21" s="17">
        <f t="shared" ref="V21:AE21" si="49">+V19+V20</f>
        <v>46.9</v>
      </c>
      <c r="W21" s="17">
        <f t="shared" si="49"/>
        <v>54.099999999999923</v>
      </c>
      <c r="X21" s="17">
        <f t="shared" si="49"/>
        <v>49.300000000000054</v>
      </c>
      <c r="Y21" s="17">
        <f t="shared" si="49"/>
        <v>32.500000000000007</v>
      </c>
      <c r="Z21" s="20">
        <f t="shared" si="49"/>
        <v>182.8000000000001</v>
      </c>
      <c r="AA21" s="17">
        <f t="shared" si="49"/>
        <v>46.300000000000004</v>
      </c>
      <c r="AB21" s="17">
        <f t="shared" si="49"/>
        <v>55.500000000000085</v>
      </c>
      <c r="AC21" s="17">
        <f t="shared" si="49"/>
        <v>45.299999999999962</v>
      </c>
      <c r="AD21" s="17">
        <f t="shared" si="49"/>
        <v>9.3000000000000043</v>
      </c>
      <c r="AE21" s="20">
        <f t="shared" si="49"/>
        <v>156.4000000000002</v>
      </c>
      <c r="AF21" s="17">
        <f t="shared" ref="AF21:AJ21" si="50">+AF19+AF20</f>
        <v>44.499999999999957</v>
      </c>
      <c r="AG21" s="17">
        <f t="shared" si="50"/>
        <v>65.399999999999949</v>
      </c>
      <c r="AH21" s="17">
        <f t="shared" si="50"/>
        <v>66.599999999999966</v>
      </c>
      <c r="AI21" s="17">
        <f t="shared" si="50"/>
        <v>73.999999999999901</v>
      </c>
      <c r="AJ21" s="20">
        <f t="shared" si="50"/>
        <v>250.50000000000034</v>
      </c>
      <c r="AK21" s="17">
        <f t="shared" ref="AK21:AO21" si="51">+AK19+AK20</f>
        <v>49.499999999999972</v>
      </c>
      <c r="AL21" s="17">
        <f t="shared" si="51"/>
        <v>71.900000000000063</v>
      </c>
      <c r="AM21" s="17">
        <f t="shared" si="51"/>
        <v>72.000000000000028</v>
      </c>
      <c r="AN21" s="17">
        <f t="shared" si="51"/>
        <v>6.30000000000003</v>
      </c>
      <c r="AO21" s="20">
        <f t="shared" si="51"/>
        <v>199.70000000000013</v>
      </c>
      <c r="AP21" s="17">
        <f t="shared" ref="AP21:AT21" si="52">+AP19+AP20</f>
        <v>53.699999999999974</v>
      </c>
      <c r="AQ21" s="17">
        <f t="shared" si="52"/>
        <v>-23.099999999999952</v>
      </c>
      <c r="AR21" s="17">
        <f t="shared" si="52"/>
        <v>49</v>
      </c>
      <c r="AS21" s="17">
        <f t="shared" si="52"/>
        <v>21.599999999999945</v>
      </c>
      <c r="AT21" s="20">
        <f t="shared" si="52"/>
        <v>101.2000000000005</v>
      </c>
      <c r="AU21" s="17">
        <f t="shared" ref="AU21:AY21" si="53">+AU19+AU20</f>
        <v>69.70000000000006</v>
      </c>
      <c r="AV21" s="17">
        <f t="shared" si="53"/>
        <v>74.599999999999881</v>
      </c>
      <c r="AW21" s="17">
        <f t="shared" si="53"/>
        <v>87.499999999999901</v>
      </c>
      <c r="AX21" s="17">
        <f t="shared" si="53"/>
        <v>66.099999999999966</v>
      </c>
      <c r="AY21" s="20">
        <f t="shared" si="53"/>
        <v>297.89999999999924</v>
      </c>
      <c r="AZ21" s="17">
        <f t="shared" ref="AZ21:BD21" si="54">+AZ19+AZ20</f>
        <v>90.900000000000077</v>
      </c>
      <c r="BA21" s="17">
        <f t="shared" si="54"/>
        <v>125.19999999999982</v>
      </c>
      <c r="BB21" s="17">
        <f t="shared" si="54"/>
        <v>90.599999999999937</v>
      </c>
      <c r="BC21" s="17">
        <f t="shared" si="54"/>
        <v>88.00000000000027</v>
      </c>
      <c r="BD21" s="20">
        <f t="shared" si="54"/>
        <v>394.69999999999959</v>
      </c>
      <c r="BE21" s="17">
        <f t="shared" ref="BE21:BI21" si="55">+BE19+BE20</f>
        <v>85.999999999999915</v>
      </c>
      <c r="BF21" s="17">
        <f t="shared" si="55"/>
        <v>88.599999999999852</v>
      </c>
      <c r="BG21" s="17">
        <f t="shared" si="55"/>
        <v>86.899999999999807</v>
      </c>
      <c r="BH21" s="17">
        <f t="shared" si="55"/>
        <v>45.600000000000009</v>
      </c>
      <c r="BI21" s="20">
        <f t="shared" si="55"/>
        <v>307.09999999999945</v>
      </c>
      <c r="BJ21" s="17">
        <f t="shared" ref="BJ21:BN21" si="56">+BJ19+BJ20</f>
        <v>82.299999999999955</v>
      </c>
      <c r="BK21" s="17">
        <f t="shared" ref="BK21" si="57">+BK19+BK20</f>
        <v>94.450000000000159</v>
      </c>
      <c r="BL21" s="17">
        <f t="shared" ref="BL21" si="58">+BL19+BL20</f>
        <v>93.899999999999864</v>
      </c>
      <c r="BM21" s="17">
        <f t="shared" ref="BM21" si="59">+BM19+BM20</f>
        <v>53</v>
      </c>
      <c r="BN21" s="20">
        <f t="shared" si="56"/>
        <v>323.69999999999948</v>
      </c>
      <c r="BO21" s="17">
        <f t="shared" ref="BO21:BS21" si="60">+BO19+BO20</f>
        <v>62.09999999999981</v>
      </c>
      <c r="BP21" s="17">
        <f t="shared" ref="BP21:BR21" si="61">+BP19+BP20</f>
        <v>79.200000000000131</v>
      </c>
      <c r="BQ21" s="17">
        <f t="shared" si="61"/>
        <v>95.099999999999795</v>
      </c>
      <c r="BR21" s="17">
        <f t="shared" si="61"/>
        <v>77.700000000000259</v>
      </c>
      <c r="BS21" s="20">
        <f t="shared" si="60"/>
        <v>314.10000000000008</v>
      </c>
      <c r="BT21" s="17">
        <f t="shared" ref="BT21:BZ21" si="62">+BT19+BT20</f>
        <v>44.100000000000051</v>
      </c>
      <c r="BU21" s="17">
        <f t="shared" ref="BU21:BV21" si="63">+BU19+BU20</f>
        <v>-6.1000000000000885</v>
      </c>
      <c r="BV21" s="17">
        <f t="shared" si="63"/>
        <v>107.10000000000007</v>
      </c>
      <c r="BW21" s="17">
        <f t="shared" ref="BW21" si="64">+BW19+BW20</f>
        <v>108.0000000000001</v>
      </c>
      <c r="BX21" s="87">
        <f t="shared" si="62"/>
        <v>253.10000000000036</v>
      </c>
      <c r="BY21" s="17">
        <f t="shared" si="62"/>
        <v>87.500000000000114</v>
      </c>
      <c r="BZ21" s="17">
        <f t="shared" si="62"/>
        <v>112.29999999999998</v>
      </c>
      <c r="CA21" s="17">
        <f t="shared" ref="CA21:CB21" si="65">+CA19+CA20</f>
        <v>97.200000000000131</v>
      </c>
      <c r="CB21" s="17">
        <f t="shared" si="65"/>
        <v>105.60000000000012</v>
      </c>
      <c r="CC21" s="87">
        <f t="shared" ref="CC21:CG21" si="66">+CC19+CC20</f>
        <v>402.60000000000059</v>
      </c>
      <c r="CD21" s="17">
        <f t="shared" si="66"/>
        <v>90.399999999999963</v>
      </c>
      <c r="CE21" s="17">
        <f t="shared" si="66"/>
        <v>95.200000000000088</v>
      </c>
      <c r="CF21" s="17">
        <f t="shared" si="66"/>
        <v>71.5</v>
      </c>
      <c r="CG21" s="17">
        <f t="shared" si="66"/>
        <v>52.799999999999912</v>
      </c>
      <c r="CH21" s="87">
        <f t="shared" ref="CH21:CR21" si="67">+CH19+CH20</f>
        <v>309.89999999999935</v>
      </c>
      <c r="CI21" s="17">
        <f t="shared" si="67"/>
        <v>53.499999999999901</v>
      </c>
      <c r="CJ21" s="17">
        <f t="shared" si="67"/>
        <v>54.200000000000017</v>
      </c>
      <c r="CK21" s="17">
        <f t="shared" si="67"/>
        <v>52.900000000000063</v>
      </c>
      <c r="CL21" s="17">
        <f t="shared" si="67"/>
        <v>-297.40000000000009</v>
      </c>
      <c r="CM21" s="87">
        <f t="shared" ref="CM21" si="68">+CM19+CM20</f>
        <v>-136.79999999999978</v>
      </c>
      <c r="CN21" s="17">
        <f t="shared" si="67"/>
        <v>31.600000000000083</v>
      </c>
      <c r="CO21" s="17">
        <f t="shared" si="67"/>
        <v>-602.10000000000014</v>
      </c>
      <c r="CP21" s="17">
        <f t="shared" si="67"/>
        <v>44.90000000000002</v>
      </c>
      <c r="CQ21" s="17">
        <f t="shared" si="67"/>
        <v>14.200000000000131</v>
      </c>
      <c r="CR21" s="87">
        <f t="shared" si="67"/>
        <v>-511.39999999999958</v>
      </c>
      <c r="CS21" s="17">
        <f t="shared" ref="CS21:CW21" si="69">+CS19+CS20</f>
        <v>30.600000000000009</v>
      </c>
      <c r="CT21" s="17">
        <f t="shared" si="69"/>
        <v>52.500000000000014</v>
      </c>
      <c r="CU21" s="17">
        <f t="shared" si="69"/>
        <v>127.20000000000006</v>
      </c>
      <c r="CV21" s="17">
        <f t="shared" si="69"/>
        <v>25.100000000000072</v>
      </c>
      <c r="CW21" s="87">
        <f t="shared" si="69"/>
        <v>235.39999999999992</v>
      </c>
    </row>
    <row r="22" spans="1:101" x14ac:dyDescent="0.2">
      <c r="A22" s="1" t="s">
        <v>103</v>
      </c>
      <c r="B22" s="26">
        <v>0.8</v>
      </c>
      <c r="C22" s="26">
        <v>1</v>
      </c>
      <c r="D22" s="26">
        <v>1</v>
      </c>
      <c r="E22" s="26">
        <v>0.7</v>
      </c>
      <c r="F22" s="21">
        <f>SUM(B22:E22)</f>
        <v>3.5</v>
      </c>
      <c r="G22" s="26">
        <v>0.9</v>
      </c>
      <c r="H22" s="26">
        <v>1.6</v>
      </c>
      <c r="I22" s="26">
        <v>1.4</v>
      </c>
      <c r="J22" s="26">
        <v>1.7</v>
      </c>
      <c r="K22" s="21">
        <f>SUM(G22:J22)</f>
        <v>5.6</v>
      </c>
      <c r="L22" s="26">
        <v>1.2</v>
      </c>
      <c r="M22" s="26">
        <v>1.7</v>
      </c>
      <c r="N22" s="26">
        <v>1.1000000000000001</v>
      </c>
      <c r="O22" s="26">
        <v>0.6</v>
      </c>
      <c r="P22" s="21">
        <f>SUM(L22:O22)</f>
        <v>4.5999999999999996</v>
      </c>
      <c r="Q22" s="26">
        <v>-0.3</v>
      </c>
      <c r="R22" s="26">
        <v>-0.2</v>
      </c>
      <c r="S22" s="26">
        <v>1.4</v>
      </c>
      <c r="T22" s="26">
        <v>1.9</v>
      </c>
      <c r="U22" s="21">
        <f>SUM(Q22:T22)</f>
        <v>2.8</v>
      </c>
      <c r="V22" s="26">
        <v>1.8</v>
      </c>
      <c r="W22" s="26">
        <v>1.4</v>
      </c>
      <c r="X22" s="26">
        <v>1.9</v>
      </c>
      <c r="Y22" s="26">
        <v>1.1000000000000001</v>
      </c>
      <c r="Z22" s="21">
        <f>SUM(V22:Y22)</f>
        <v>6.1999999999999993</v>
      </c>
      <c r="AA22" s="26">
        <v>1.3</v>
      </c>
      <c r="AB22" s="26">
        <v>0.8</v>
      </c>
      <c r="AC22" s="26">
        <v>0.4</v>
      </c>
      <c r="AD22" s="26">
        <v>0.6</v>
      </c>
      <c r="AE22" s="21">
        <f>SUM(AA22:AD22)</f>
        <v>3.1</v>
      </c>
      <c r="AF22" s="26">
        <v>0.5</v>
      </c>
      <c r="AG22" s="26">
        <v>0.5</v>
      </c>
      <c r="AH22" s="26">
        <v>0.8</v>
      </c>
      <c r="AI22" s="26">
        <v>0.5</v>
      </c>
      <c r="AJ22" s="21">
        <f>SUM(AF22:AI22)</f>
        <v>2.2999999999999998</v>
      </c>
      <c r="AK22" s="26">
        <v>0.4</v>
      </c>
      <c r="AL22" s="26">
        <v>0.6</v>
      </c>
      <c r="AM22" s="26">
        <v>0.7</v>
      </c>
      <c r="AN22" s="26">
        <v>0.7</v>
      </c>
      <c r="AO22" s="21">
        <f>SUM(AK22:AN22)</f>
        <v>2.4</v>
      </c>
      <c r="AP22" s="26">
        <v>0.6</v>
      </c>
      <c r="AQ22" s="26">
        <v>0.8</v>
      </c>
      <c r="AR22" s="26">
        <v>0.8</v>
      </c>
      <c r="AS22" s="26">
        <v>1</v>
      </c>
      <c r="AT22" s="21">
        <f>SUM(AP22:AS22)</f>
        <v>3.2</v>
      </c>
      <c r="AU22" s="26">
        <v>1.1000000000000001</v>
      </c>
      <c r="AV22" s="26">
        <v>0.8</v>
      </c>
      <c r="AW22" s="26">
        <v>0.9</v>
      </c>
      <c r="AX22" s="26">
        <v>1.3</v>
      </c>
      <c r="AY22" s="21">
        <f>SUM(AU22:AX22)</f>
        <v>4.1000000000000005</v>
      </c>
      <c r="AZ22" s="26">
        <v>1.6</v>
      </c>
      <c r="BA22" s="26">
        <v>-1.4</v>
      </c>
      <c r="BB22" s="26">
        <v>0.1</v>
      </c>
      <c r="BC22" s="26">
        <v>0.1</v>
      </c>
      <c r="BD22" s="21">
        <f>SUM(AZ22:BC22)</f>
        <v>0.40000000000000013</v>
      </c>
      <c r="BE22" s="26">
        <v>0</v>
      </c>
      <c r="BF22" s="26">
        <v>0</v>
      </c>
      <c r="BG22" s="26">
        <v>0</v>
      </c>
      <c r="BH22" s="26">
        <v>0.1</v>
      </c>
      <c r="BI22" s="21">
        <f>SUM(BE22:BH22)</f>
        <v>0.1</v>
      </c>
      <c r="BJ22" s="26">
        <v>0</v>
      </c>
      <c r="BK22" s="26">
        <v>0.1</v>
      </c>
      <c r="BL22" s="26">
        <v>0</v>
      </c>
      <c r="BM22" s="26">
        <v>0.1</v>
      </c>
      <c r="BN22" s="21">
        <f>SUM(BJ22:BM22)</f>
        <v>0.2</v>
      </c>
      <c r="BO22" s="26">
        <v>-0.1</v>
      </c>
      <c r="BP22" s="26">
        <v>0.1</v>
      </c>
      <c r="BQ22" s="26">
        <v>0</v>
      </c>
      <c r="BR22" s="26">
        <v>0.1</v>
      </c>
      <c r="BS22" s="21">
        <f>SUM(BO22:BR22)</f>
        <v>0.1</v>
      </c>
      <c r="BT22" s="26">
        <v>0</v>
      </c>
      <c r="BU22" s="26">
        <v>0</v>
      </c>
      <c r="BV22" s="26">
        <v>0.1</v>
      </c>
      <c r="BW22" s="26">
        <v>0</v>
      </c>
      <c r="BX22" s="88">
        <f>SUM(BT22:BW22)</f>
        <v>0.1</v>
      </c>
      <c r="BY22" s="26">
        <v>0</v>
      </c>
      <c r="BZ22" s="26">
        <v>0.1</v>
      </c>
      <c r="CA22" s="26">
        <v>0</v>
      </c>
      <c r="CB22" s="26">
        <v>0.1</v>
      </c>
      <c r="CC22" s="88">
        <f>SUM(BY22:CB22)</f>
        <v>0.2</v>
      </c>
      <c r="CD22" s="26">
        <v>0</v>
      </c>
      <c r="CE22" s="26">
        <v>0</v>
      </c>
      <c r="CF22" s="26">
        <v>0.1</v>
      </c>
      <c r="CG22" s="26">
        <v>0</v>
      </c>
      <c r="CH22" s="88">
        <f>SUM(CD22:CG22)</f>
        <v>0.1</v>
      </c>
      <c r="CI22" s="26">
        <v>0</v>
      </c>
      <c r="CJ22" s="26">
        <v>0</v>
      </c>
      <c r="CK22" s="26">
        <v>0.1</v>
      </c>
      <c r="CL22" s="26">
        <v>-0.1</v>
      </c>
      <c r="CM22" s="88">
        <f>SUM(CI22:CL22)</f>
        <v>0</v>
      </c>
      <c r="CN22" s="26">
        <v>0</v>
      </c>
      <c r="CO22" s="26">
        <v>0.1</v>
      </c>
      <c r="CP22" s="26">
        <v>0</v>
      </c>
      <c r="CQ22" s="26">
        <v>0</v>
      </c>
      <c r="CR22" s="88">
        <f>SUM(CN22:CQ22)</f>
        <v>0.1</v>
      </c>
      <c r="CS22" s="26">
        <v>0</v>
      </c>
      <c r="CT22" s="26">
        <v>0</v>
      </c>
      <c r="CU22" s="26">
        <v>0.1</v>
      </c>
      <c r="CV22" s="26">
        <v>-0.1</v>
      </c>
      <c r="CW22" s="88">
        <f>SUM(CS22:CV22)</f>
        <v>0</v>
      </c>
    </row>
    <row r="23" spans="1:101" ht="12.75" thickBot="1" x14ac:dyDescent="0.25">
      <c r="A23" s="6" t="s">
        <v>104</v>
      </c>
      <c r="B23" s="19">
        <f t="shared" ref="B23:U23" si="70">+B21-B22</f>
        <v>62.100000000000051</v>
      </c>
      <c r="C23" s="19">
        <f t="shared" si="70"/>
        <v>84.199999999999989</v>
      </c>
      <c r="D23" s="19">
        <f t="shared" si="70"/>
        <v>83.999999999999986</v>
      </c>
      <c r="E23" s="19">
        <f t="shared" si="70"/>
        <v>70.199999999999989</v>
      </c>
      <c r="F23" s="23">
        <f t="shared" si="70"/>
        <v>300.49999999999943</v>
      </c>
      <c r="G23" s="19">
        <f t="shared" si="70"/>
        <v>75.699999999999875</v>
      </c>
      <c r="H23" s="19">
        <f t="shared" si="70"/>
        <v>59.999999999999993</v>
      </c>
      <c r="I23" s="19">
        <f t="shared" si="70"/>
        <v>65.7</v>
      </c>
      <c r="J23" s="19">
        <f t="shared" si="70"/>
        <v>-212.59999999999997</v>
      </c>
      <c r="K23" s="23">
        <f t="shared" si="70"/>
        <v>-11.199999999999866</v>
      </c>
      <c r="L23" s="19">
        <f t="shared" si="70"/>
        <v>43.399999999999899</v>
      </c>
      <c r="M23" s="19">
        <f t="shared" si="70"/>
        <v>46.300009999999872</v>
      </c>
      <c r="N23" s="19">
        <f t="shared" si="70"/>
        <v>32.70000000000001</v>
      </c>
      <c r="O23" s="19">
        <f t="shared" si="70"/>
        <v>-17.999999999999982</v>
      </c>
      <c r="P23" s="23">
        <f t="shared" si="70"/>
        <v>104.40000999999938</v>
      </c>
      <c r="Q23" s="19">
        <f t="shared" si="70"/>
        <v>3.2999999999999909</v>
      </c>
      <c r="R23" s="19">
        <f t="shared" si="70"/>
        <v>19.399999999999931</v>
      </c>
      <c r="S23" s="19">
        <f t="shared" si="70"/>
        <v>54.299999999999962</v>
      </c>
      <c r="T23" s="19">
        <f t="shared" si="70"/>
        <v>35.200000000000045</v>
      </c>
      <c r="U23" s="23">
        <f t="shared" si="70"/>
        <v>112.2000000000003</v>
      </c>
      <c r="V23" s="19">
        <f t="shared" ref="V23:AE23" si="71">+V21-V22</f>
        <v>45.1</v>
      </c>
      <c r="W23" s="19">
        <f t="shared" si="71"/>
        <v>52.699999999999925</v>
      </c>
      <c r="X23" s="19">
        <f t="shared" si="71"/>
        <v>47.400000000000055</v>
      </c>
      <c r="Y23" s="19">
        <f t="shared" si="71"/>
        <v>31.400000000000006</v>
      </c>
      <c r="Z23" s="23">
        <f t="shared" si="71"/>
        <v>176.60000000000011</v>
      </c>
      <c r="AA23" s="19">
        <f t="shared" si="71"/>
        <v>45.000000000000007</v>
      </c>
      <c r="AB23" s="19">
        <f t="shared" si="71"/>
        <v>54.700000000000088</v>
      </c>
      <c r="AC23" s="19">
        <f t="shared" si="71"/>
        <v>44.899999999999963</v>
      </c>
      <c r="AD23" s="19">
        <f t="shared" si="71"/>
        <v>8.7000000000000046</v>
      </c>
      <c r="AE23" s="23">
        <f t="shared" si="71"/>
        <v>153.30000000000021</v>
      </c>
      <c r="AF23" s="19">
        <f t="shared" ref="AF23:AJ23" si="72">+AF21-AF22</f>
        <v>43.999999999999957</v>
      </c>
      <c r="AG23" s="19">
        <f t="shared" si="72"/>
        <v>64.899999999999949</v>
      </c>
      <c r="AH23" s="19">
        <f t="shared" si="72"/>
        <v>65.799999999999969</v>
      </c>
      <c r="AI23" s="19">
        <f t="shared" si="72"/>
        <v>73.499999999999901</v>
      </c>
      <c r="AJ23" s="23">
        <f t="shared" si="72"/>
        <v>248.20000000000033</v>
      </c>
      <c r="AK23" s="19">
        <f t="shared" ref="AK23:AO23" si="73">+AK21-AK22</f>
        <v>49.099999999999973</v>
      </c>
      <c r="AL23" s="19">
        <f t="shared" si="73"/>
        <v>71.300000000000068</v>
      </c>
      <c r="AM23" s="19">
        <f t="shared" si="73"/>
        <v>71.300000000000026</v>
      </c>
      <c r="AN23" s="19">
        <f t="shared" si="73"/>
        <v>5.6000000000000298</v>
      </c>
      <c r="AO23" s="23">
        <f t="shared" si="73"/>
        <v>197.30000000000013</v>
      </c>
      <c r="AP23" s="19">
        <f t="shared" ref="AP23:AT23" si="74">+AP21-AP22</f>
        <v>53.099999999999973</v>
      </c>
      <c r="AQ23" s="19">
        <f t="shared" si="74"/>
        <v>-23.899999999999952</v>
      </c>
      <c r="AR23" s="19">
        <f t="shared" si="74"/>
        <v>48.2</v>
      </c>
      <c r="AS23" s="19">
        <f t="shared" si="74"/>
        <v>20.599999999999945</v>
      </c>
      <c r="AT23" s="23">
        <f t="shared" si="74"/>
        <v>98.000000000000497</v>
      </c>
      <c r="AU23" s="19">
        <f t="shared" ref="AU23:AY23" si="75">+AU21-AU22</f>
        <v>68.600000000000065</v>
      </c>
      <c r="AV23" s="19">
        <f t="shared" si="75"/>
        <v>73.799999999999883</v>
      </c>
      <c r="AW23" s="19">
        <f t="shared" si="75"/>
        <v>86.599999999999895</v>
      </c>
      <c r="AX23" s="19">
        <f t="shared" si="75"/>
        <v>64.799999999999969</v>
      </c>
      <c r="AY23" s="23">
        <f t="shared" si="75"/>
        <v>293.79999999999922</v>
      </c>
      <c r="AZ23" s="19">
        <f t="shared" ref="AZ23:BD23" si="76">+AZ21-AZ22</f>
        <v>89.300000000000082</v>
      </c>
      <c r="BA23" s="19">
        <f t="shared" si="76"/>
        <v>126.59999999999982</v>
      </c>
      <c r="BB23" s="19">
        <f t="shared" si="76"/>
        <v>90.499999999999943</v>
      </c>
      <c r="BC23" s="19">
        <f t="shared" si="76"/>
        <v>87.900000000000276</v>
      </c>
      <c r="BD23" s="23">
        <f t="shared" si="76"/>
        <v>394.29999999999961</v>
      </c>
      <c r="BE23" s="19">
        <f t="shared" ref="BE23:BI23" si="77">+BE21-BE22</f>
        <v>85.999999999999915</v>
      </c>
      <c r="BF23" s="19">
        <f>+BF21-BF22</f>
        <v>88.599999999999852</v>
      </c>
      <c r="BG23" s="19">
        <f>+BG21-BG22</f>
        <v>86.899999999999807</v>
      </c>
      <c r="BH23" s="19">
        <f>+BH21-BH22</f>
        <v>45.500000000000007</v>
      </c>
      <c r="BI23" s="23">
        <f t="shared" si="77"/>
        <v>306.99999999999943</v>
      </c>
      <c r="BJ23" s="19">
        <f t="shared" ref="BJ23" si="78">+BJ21-BJ22</f>
        <v>82.299999999999955</v>
      </c>
      <c r="BK23" s="19">
        <f t="shared" ref="BK23" si="79">+BK21-BK22</f>
        <v>94.350000000000165</v>
      </c>
      <c r="BL23" s="19">
        <f t="shared" ref="BL23" si="80">+BL21-BL22</f>
        <v>93.899999999999864</v>
      </c>
      <c r="BM23" s="19">
        <f t="shared" ref="BM23" si="81">+BM21-BM22</f>
        <v>52.9</v>
      </c>
      <c r="BN23" s="23">
        <f>+BN21-BN22</f>
        <v>323.49999999999949</v>
      </c>
      <c r="BO23" s="19">
        <f>+BO21-BO22</f>
        <v>62.199999999999811</v>
      </c>
      <c r="BP23" s="19">
        <f t="shared" ref="BP23:BR23" si="82">+BP21-BP22</f>
        <v>79.100000000000136</v>
      </c>
      <c r="BQ23" s="19">
        <f t="shared" si="82"/>
        <v>95.099999999999795</v>
      </c>
      <c r="BR23" s="19">
        <f t="shared" si="82"/>
        <v>77.600000000000264</v>
      </c>
      <c r="BS23" s="23">
        <f t="shared" ref="BS23:BT23" si="83">+BS21-BS22</f>
        <v>314.00000000000006</v>
      </c>
      <c r="BT23" s="19">
        <f t="shared" si="83"/>
        <v>44.100000000000051</v>
      </c>
      <c r="BU23" s="19">
        <f t="shared" ref="BU23:BV23" si="84">+BU21-BU22</f>
        <v>-6.1000000000000885</v>
      </c>
      <c r="BV23" s="19">
        <f t="shared" si="84"/>
        <v>107.00000000000007</v>
      </c>
      <c r="BW23" s="19">
        <f t="shared" ref="BW23" si="85">+BW21-BW22</f>
        <v>108.0000000000001</v>
      </c>
      <c r="BX23" s="90">
        <f t="shared" ref="BX23:BZ23" si="86">+BX21-BX22</f>
        <v>253.00000000000037</v>
      </c>
      <c r="BY23" s="19">
        <f t="shared" si="86"/>
        <v>87.500000000000114</v>
      </c>
      <c r="BZ23" s="19">
        <f t="shared" si="86"/>
        <v>112.19999999999999</v>
      </c>
      <c r="CA23" s="19">
        <f t="shared" ref="CA23:CB23" si="87">+CA21-CA22</f>
        <v>97.200000000000131</v>
      </c>
      <c r="CB23" s="19">
        <f t="shared" si="87"/>
        <v>105.50000000000013</v>
      </c>
      <c r="CC23" s="90">
        <f t="shared" ref="CC23:CG23" si="88">+CC21-CC22</f>
        <v>402.4000000000006</v>
      </c>
      <c r="CD23" s="19">
        <f t="shared" si="88"/>
        <v>90.399999999999963</v>
      </c>
      <c r="CE23" s="19">
        <f t="shared" si="88"/>
        <v>95.200000000000088</v>
      </c>
      <c r="CF23" s="19">
        <f t="shared" si="88"/>
        <v>71.400000000000006</v>
      </c>
      <c r="CG23" s="19">
        <f t="shared" si="88"/>
        <v>52.799999999999912</v>
      </c>
      <c r="CH23" s="90">
        <f t="shared" ref="CH23:CJ23" si="89">+CH21-CH22</f>
        <v>309.79999999999933</v>
      </c>
      <c r="CI23" s="19">
        <f t="shared" si="89"/>
        <v>53.499999999999901</v>
      </c>
      <c r="CJ23" s="19">
        <f t="shared" si="89"/>
        <v>54.200000000000017</v>
      </c>
      <c r="CK23" s="19">
        <f>+CK21-CK22</f>
        <v>52.800000000000061</v>
      </c>
      <c r="CL23" s="19">
        <f>+CL21-CL22</f>
        <v>-297.30000000000007</v>
      </c>
      <c r="CM23" s="90">
        <f t="shared" ref="CM23:CO23" si="90">+CM21-CM22</f>
        <v>-136.79999999999978</v>
      </c>
      <c r="CN23" s="19">
        <f t="shared" si="90"/>
        <v>31.600000000000083</v>
      </c>
      <c r="CO23" s="19">
        <f t="shared" si="90"/>
        <v>-602.20000000000016</v>
      </c>
      <c r="CP23" s="19">
        <f>+CP21-CP22</f>
        <v>44.90000000000002</v>
      </c>
      <c r="CQ23" s="19">
        <f>+CQ21-CQ22</f>
        <v>14.200000000000131</v>
      </c>
      <c r="CR23" s="90">
        <f t="shared" ref="CR23:CT23" si="91">+CR21-CR22</f>
        <v>-511.4999999999996</v>
      </c>
      <c r="CS23" s="19">
        <f t="shared" si="91"/>
        <v>30.600000000000009</v>
      </c>
      <c r="CT23" s="19">
        <f t="shared" si="91"/>
        <v>52.500000000000014</v>
      </c>
      <c r="CU23" s="19">
        <f>+CU21-CU22</f>
        <v>127.10000000000007</v>
      </c>
      <c r="CV23" s="19">
        <f>+CV21-CV22</f>
        <v>25.200000000000074</v>
      </c>
      <c r="CW23" s="90">
        <f t="shared" ref="CW23" si="92">+CW21-CW22</f>
        <v>235.39999999999992</v>
      </c>
    </row>
    <row r="24" spans="1:101" ht="12.75" thickTop="1" x14ac:dyDescent="0.2">
      <c r="A24" s="8" t="s">
        <v>90</v>
      </c>
      <c r="B24" s="31">
        <f t="shared" ref="B24:AG24" si="93">+B23/B4</f>
        <v>5.9300993124522583E-2</v>
      </c>
      <c r="C24" s="31">
        <f t="shared" si="93"/>
        <v>7.8071395456652745E-2</v>
      </c>
      <c r="D24" s="31">
        <f t="shared" si="93"/>
        <v>7.530255490811294E-2</v>
      </c>
      <c r="E24" s="31">
        <f t="shared" si="93"/>
        <v>6.8441064638783258E-2</v>
      </c>
      <c r="F24" s="32">
        <f t="shared" si="93"/>
        <v>7.0425836087088856E-2</v>
      </c>
      <c r="G24" s="38">
        <f t="shared" si="93"/>
        <v>7.2260404734631425E-2</v>
      </c>
      <c r="H24" s="38">
        <f t="shared" si="93"/>
        <v>5.6048575432041094E-2</v>
      </c>
      <c r="I24" s="38">
        <f t="shared" si="93"/>
        <v>6.0153817982054568E-2</v>
      </c>
      <c r="J24" s="38">
        <f t="shared" si="93"/>
        <v>-0.20448206213330763</v>
      </c>
      <c r="K24" s="35">
        <f t="shared" si="93"/>
        <v>-2.6352941176470274E-3</v>
      </c>
      <c r="L24" s="38">
        <f t="shared" si="93"/>
        <v>4.3473905639587196E-2</v>
      </c>
      <c r="M24" s="38">
        <f t="shared" si="93"/>
        <v>4.3551885993791624E-2</v>
      </c>
      <c r="N24" s="38">
        <f t="shared" si="93"/>
        <v>2.8881822999470067E-2</v>
      </c>
      <c r="O24" s="38">
        <f t="shared" si="93"/>
        <v>-2.0396600566572217E-2</v>
      </c>
      <c r="P24" s="35">
        <f t="shared" si="93"/>
        <v>2.5612720492627611E-2</v>
      </c>
      <c r="Q24" s="38">
        <f t="shared" si="93"/>
        <v>4.5954602423060728E-3</v>
      </c>
      <c r="R24" s="38">
        <f t="shared" si="93"/>
        <v>2.5613942434644748E-2</v>
      </c>
      <c r="S24" s="38">
        <f t="shared" si="93"/>
        <v>6.7045314236325426E-2</v>
      </c>
      <c r="T24" s="38">
        <f t="shared" si="93"/>
        <v>4.5732103416915741E-2</v>
      </c>
      <c r="U24" s="35">
        <f t="shared" si="93"/>
        <v>3.6725475434519421E-2</v>
      </c>
      <c r="V24" s="38">
        <f t="shared" si="93"/>
        <v>5.5242528172464479E-2</v>
      </c>
      <c r="W24" s="38">
        <f t="shared" si="93"/>
        <v>6.0276792862861632E-2</v>
      </c>
      <c r="X24" s="38">
        <f t="shared" si="93"/>
        <v>5.4702827466820605E-2</v>
      </c>
      <c r="Y24" s="38">
        <f t="shared" si="93"/>
        <v>3.915700211996509E-2</v>
      </c>
      <c r="Z24" s="35">
        <f t="shared" si="93"/>
        <v>5.2573606025423512E-2</v>
      </c>
      <c r="AA24" s="38">
        <f t="shared" si="93"/>
        <v>5.0234427327528475E-2</v>
      </c>
      <c r="AB24" s="38">
        <f t="shared" si="93"/>
        <v>5.7871349978840546E-2</v>
      </c>
      <c r="AC24" s="38">
        <f t="shared" si="93"/>
        <v>4.7720267828674633E-2</v>
      </c>
      <c r="AD24" s="38">
        <f t="shared" si="93"/>
        <v>1.0186160871092384E-2</v>
      </c>
      <c r="AE24" s="35">
        <f t="shared" si="93"/>
        <v>4.2161716171617222E-2</v>
      </c>
      <c r="AF24" s="38">
        <f t="shared" si="93"/>
        <v>5.0256996002284358E-2</v>
      </c>
      <c r="AG24" s="38">
        <f t="shared" si="93"/>
        <v>7.482993197278906E-2</v>
      </c>
      <c r="AH24" s="38">
        <f t="shared" ref="AH24:BM24" si="94">+AH23/AH4</f>
        <v>7.625449067099313E-2</v>
      </c>
      <c r="AI24" s="38">
        <f t="shared" si="94"/>
        <v>9.0875370919881182E-2</v>
      </c>
      <c r="AJ24" s="35">
        <f t="shared" si="94"/>
        <v>7.2689998535656858E-2</v>
      </c>
      <c r="AK24" s="38">
        <f t="shared" si="94"/>
        <v>5.7039962825278782E-2</v>
      </c>
      <c r="AL24" s="38">
        <f t="shared" si="94"/>
        <v>8.1059572532969609E-2</v>
      </c>
      <c r="AM24" s="38">
        <f t="shared" si="94"/>
        <v>8.1244302643573407E-2</v>
      </c>
      <c r="AN24" s="38">
        <f t="shared" si="94"/>
        <v>6.5176908752328094E-3</v>
      </c>
      <c r="AO24" s="35">
        <f t="shared" si="94"/>
        <v>5.6741056022086775E-2</v>
      </c>
      <c r="AP24" s="38">
        <f t="shared" si="94"/>
        <v>6.0651056539120472E-2</v>
      </c>
      <c r="AQ24" s="38">
        <f t="shared" si="94"/>
        <v>-2.4997385210751961E-2</v>
      </c>
      <c r="AR24" s="38">
        <f t="shared" si="94"/>
        <v>4.832564668137157E-2</v>
      </c>
      <c r="AS24" s="38">
        <f t="shared" si="94"/>
        <v>2.1609147172978019E-2</v>
      </c>
      <c r="AT24" s="35">
        <f t="shared" si="94"/>
        <v>2.5910160484361497E-2</v>
      </c>
      <c r="AU24" s="38">
        <f t="shared" si="94"/>
        <v>7.099979300351901E-2</v>
      </c>
      <c r="AV24" s="38">
        <f t="shared" si="94"/>
        <v>7.3999799458537935E-2</v>
      </c>
      <c r="AW24" s="38">
        <f t="shared" si="94"/>
        <v>8.581904667525507E-2</v>
      </c>
      <c r="AX24" s="38">
        <f t="shared" si="94"/>
        <v>6.8600465805631977E-2</v>
      </c>
      <c r="AY24" s="69">
        <f t="shared" si="94"/>
        <v>7.5002552843867878E-2</v>
      </c>
      <c r="AZ24" s="78">
        <f t="shared" si="94"/>
        <v>9.5161977834612194E-2</v>
      </c>
      <c r="BA24" s="78">
        <f t="shared" si="94"/>
        <v>0.13202628011262887</v>
      </c>
      <c r="BB24" s="78">
        <f t="shared" si="94"/>
        <v>9.5373590473179407E-2</v>
      </c>
      <c r="BC24" s="78">
        <f t="shared" si="94"/>
        <v>9.7266792077017009E-2</v>
      </c>
      <c r="BD24" s="69">
        <f t="shared" si="94"/>
        <v>0.10514947065255065</v>
      </c>
      <c r="BE24" s="78">
        <f t="shared" si="94"/>
        <v>8.9555347287305964E-2</v>
      </c>
      <c r="BF24" s="78">
        <f t="shared" si="94"/>
        <v>8.9558273526735926E-2</v>
      </c>
      <c r="BG24" s="78">
        <f t="shared" si="94"/>
        <v>8.6065167871644851E-2</v>
      </c>
      <c r="BH24" s="78">
        <f t="shared" si="94"/>
        <v>4.6216353478923319E-2</v>
      </c>
      <c r="BI24" s="69">
        <f t="shared" si="94"/>
        <v>7.7843704041786962E-2</v>
      </c>
      <c r="BJ24" s="78">
        <f t="shared" si="94"/>
        <v>7.9996111975116593E-2</v>
      </c>
      <c r="BK24" s="78">
        <f t="shared" si="94"/>
        <v>8.5582112567463522E-2</v>
      </c>
      <c r="BL24" s="78">
        <f t="shared" si="94"/>
        <v>8.6028401282638445E-2</v>
      </c>
      <c r="BM24" s="78">
        <f t="shared" si="94"/>
        <v>5.0539791726378139E-2</v>
      </c>
      <c r="BN24" s="69">
        <f t="shared" ref="BN24:CG24" si="95">+BN23/BN4</f>
        <v>7.576999648670793E-2</v>
      </c>
      <c r="BO24" s="78">
        <f t="shared" si="95"/>
        <v>5.3848151675179479E-2</v>
      </c>
      <c r="BP24" s="78">
        <f t="shared" si="95"/>
        <v>6.5199472469502251E-2</v>
      </c>
      <c r="BQ24" s="78">
        <f t="shared" si="95"/>
        <v>7.6736867586540622E-2</v>
      </c>
      <c r="BR24" s="78">
        <f t="shared" si="95"/>
        <v>6.7778845314001454E-2</v>
      </c>
      <c r="BS24" s="69">
        <f t="shared" si="95"/>
        <v>6.6070489216202011E-2</v>
      </c>
      <c r="BT24" s="78">
        <f t="shared" si="95"/>
        <v>4.218077474892401E-2</v>
      </c>
      <c r="BU24" s="78">
        <f t="shared" si="95"/>
        <v>-7.21808070050892E-3</v>
      </c>
      <c r="BV24" s="78">
        <f t="shared" si="95"/>
        <v>8.8605498509440273E-2</v>
      </c>
      <c r="BW24" s="78">
        <f t="shared" si="95"/>
        <v>9.1370558375634597E-2</v>
      </c>
      <c r="BX24" s="69">
        <f t="shared" si="95"/>
        <v>5.9109387411803278E-2</v>
      </c>
      <c r="BY24" s="78">
        <f t="shared" si="95"/>
        <v>7.6027456772960383E-2</v>
      </c>
      <c r="BZ24" s="78">
        <f t="shared" si="95"/>
        <v>8.8374291115311907E-2</v>
      </c>
      <c r="CA24" s="78">
        <f t="shared" si="95"/>
        <v>7.3681018799272385E-2</v>
      </c>
      <c r="CB24" s="78">
        <f t="shared" si="95"/>
        <v>7.915072398529531E-2</v>
      </c>
      <c r="CC24" s="69">
        <f t="shared" si="95"/>
        <v>7.9328155186689384E-2</v>
      </c>
      <c r="CD24" s="78">
        <f t="shared" si="95"/>
        <v>6.8365726385842818E-2</v>
      </c>
      <c r="CE24" s="78">
        <f t="shared" si="95"/>
        <v>7.1353620146904578E-2</v>
      </c>
      <c r="CF24" s="78">
        <f t="shared" si="95"/>
        <v>5.5160692212608158E-2</v>
      </c>
      <c r="CG24" s="78">
        <f t="shared" si="95"/>
        <v>4.4154540893125871E-2</v>
      </c>
      <c r="CH24" s="69">
        <f t="shared" ref="CH24:CL24" si="96">+CH23/CH4</f>
        <v>6.0193910661200251E-2</v>
      </c>
      <c r="CI24" s="78">
        <f t="shared" si="96"/>
        <v>4.408371786420559E-2</v>
      </c>
      <c r="CJ24" s="78">
        <f t="shared" si="96"/>
        <v>4.4382574516868667E-2</v>
      </c>
      <c r="CK24" s="78">
        <f t="shared" si="96"/>
        <v>4.492087799897912E-2</v>
      </c>
      <c r="CL24" s="78">
        <f t="shared" si="96"/>
        <v>-0.26661285983319888</v>
      </c>
      <c r="CM24" s="69">
        <f t="shared" ref="CM24:CQ24" si="97">+CM23/CM4</f>
        <v>-2.895054282267788E-2</v>
      </c>
      <c r="CN24" s="78">
        <f t="shared" si="97"/>
        <v>2.8808460206035263E-2</v>
      </c>
      <c r="CO24" s="78">
        <f t="shared" si="97"/>
        <v>-0.5335814283182706</v>
      </c>
      <c r="CP24" s="78">
        <f t="shared" si="97"/>
        <v>4.0755196514477642E-2</v>
      </c>
      <c r="CQ24" s="78">
        <f t="shared" si="97"/>
        <v>1.3441878076486303E-2</v>
      </c>
      <c r="CR24" s="69">
        <f t="shared" ref="CR24:CV24" si="98">+CR23/CR4</f>
        <v>-0.11668491650698046</v>
      </c>
      <c r="CS24" s="78">
        <f t="shared" si="98"/>
        <v>2.9938362195479903E-2</v>
      </c>
      <c r="CT24" s="78">
        <f t="shared" si="98"/>
        <v>4.9621928166351623E-2</v>
      </c>
      <c r="CU24" s="78">
        <f t="shared" si="98"/>
        <v>0.12263604785796994</v>
      </c>
      <c r="CV24" s="78">
        <f t="shared" si="98"/>
        <v>2.6848497762625264E-2</v>
      </c>
      <c r="CW24" s="69">
        <f t="shared" ref="CW24" si="99">+CW23/CW4</f>
        <v>5.8050356341397234E-2</v>
      </c>
    </row>
    <row r="25" spans="1:101" ht="6" customHeight="1" x14ac:dyDescent="0.2">
      <c r="D25" s="1"/>
      <c r="F25" s="9"/>
      <c r="K25" s="9"/>
      <c r="P25" s="9"/>
      <c r="U25" s="9"/>
      <c r="Z25" s="9"/>
      <c r="AE25" s="9"/>
      <c r="AJ25" s="9"/>
      <c r="AO25" s="9"/>
      <c r="AT25" s="9"/>
      <c r="AY25" s="9"/>
      <c r="BD25" s="61"/>
      <c r="BI25" s="64"/>
      <c r="BN25" s="9"/>
      <c r="BS25" s="61"/>
      <c r="BX25" s="65"/>
      <c r="CC25" s="65"/>
      <c r="CH25" s="65"/>
      <c r="CM25" s="65"/>
      <c r="CR25" s="65"/>
      <c r="CW25" s="65"/>
    </row>
    <row r="26" spans="1:101" x14ac:dyDescent="0.2">
      <c r="A26" s="1" t="s">
        <v>105</v>
      </c>
      <c r="B26" s="17">
        <v>29.8</v>
      </c>
      <c r="C26" s="17">
        <v>30.7</v>
      </c>
      <c r="D26" s="17">
        <v>30.2</v>
      </c>
      <c r="E26" s="17">
        <v>29</v>
      </c>
      <c r="F26" s="20">
        <f>SUM(B26:E26)</f>
        <v>119.7</v>
      </c>
      <c r="G26" s="17">
        <v>28.4</v>
      </c>
      <c r="H26" s="17">
        <v>30.3</v>
      </c>
      <c r="I26" s="17">
        <v>30.1</v>
      </c>
      <c r="J26" s="17">
        <v>31.4</v>
      </c>
      <c r="K26" s="20">
        <f>SUM(G26:J26)</f>
        <v>120.20000000000002</v>
      </c>
      <c r="L26" s="17">
        <v>29</v>
      </c>
      <c r="M26" s="17">
        <v>29.9</v>
      </c>
      <c r="N26" s="17">
        <v>28.2</v>
      </c>
      <c r="O26" s="17">
        <v>28.8</v>
      </c>
      <c r="P26" s="20">
        <f>SUM(L26:O26)</f>
        <v>115.89999999999999</v>
      </c>
      <c r="Q26" s="17">
        <v>27.2</v>
      </c>
      <c r="R26" s="17">
        <v>27.8</v>
      </c>
      <c r="S26" s="17">
        <v>27</v>
      </c>
      <c r="T26" s="17">
        <v>27.6</v>
      </c>
      <c r="U26" s="20">
        <f>SUM(Q26:T26)</f>
        <v>109.6</v>
      </c>
      <c r="V26" s="17">
        <v>26.9</v>
      </c>
      <c r="W26" s="17">
        <v>24.4</v>
      </c>
      <c r="X26" s="17">
        <v>25.1</v>
      </c>
      <c r="Y26" s="17">
        <v>26.6</v>
      </c>
      <c r="Z26" s="20">
        <f>SUM(V26:Y26)</f>
        <v>103</v>
      </c>
      <c r="AA26" s="17">
        <v>25.3</v>
      </c>
      <c r="AB26" s="17">
        <v>25.3</v>
      </c>
      <c r="AC26" s="17">
        <v>23.2</v>
      </c>
      <c r="AD26" s="17">
        <v>24.3</v>
      </c>
      <c r="AE26" s="20">
        <f>SUM(AA26:AD26)</f>
        <v>98.1</v>
      </c>
      <c r="AF26" s="17">
        <v>21.8</v>
      </c>
      <c r="AG26" s="17">
        <v>21.3</v>
      </c>
      <c r="AH26" s="17">
        <v>22.5</v>
      </c>
      <c r="AI26" s="17">
        <v>20.7</v>
      </c>
      <c r="AJ26" s="20">
        <f>SUM(AF26:AI26)</f>
        <v>86.3</v>
      </c>
      <c r="AK26" s="17">
        <v>23.3</v>
      </c>
      <c r="AL26" s="17">
        <v>22.7</v>
      </c>
      <c r="AM26" s="17">
        <v>22</v>
      </c>
      <c r="AN26" s="17">
        <v>23.1</v>
      </c>
      <c r="AO26" s="20">
        <f>SUM(AK26:AN26)</f>
        <v>91.1</v>
      </c>
      <c r="AP26" s="17">
        <v>24</v>
      </c>
      <c r="AQ26" s="17">
        <v>25</v>
      </c>
      <c r="AR26" s="17">
        <v>24</v>
      </c>
      <c r="AS26" s="17">
        <v>25</v>
      </c>
      <c r="AT26" s="20">
        <f>SUM(AP26:AS26)</f>
        <v>98</v>
      </c>
      <c r="AU26" s="17">
        <v>22.5</v>
      </c>
      <c r="AV26" s="17">
        <v>19.2</v>
      </c>
      <c r="AW26" s="17">
        <v>21</v>
      </c>
      <c r="AX26" s="17">
        <v>20.8</v>
      </c>
      <c r="AY26" s="72">
        <f>SUM(AU26:AX26)</f>
        <v>83.5</v>
      </c>
      <c r="AZ26" s="70">
        <v>21.1</v>
      </c>
      <c r="BA26" s="70">
        <v>21.9</v>
      </c>
      <c r="BB26" s="70">
        <v>22.1</v>
      </c>
      <c r="BC26" s="70">
        <v>21.7</v>
      </c>
      <c r="BD26" s="72">
        <f>SUM(AZ26:BC26)</f>
        <v>86.8</v>
      </c>
      <c r="BE26" s="70">
        <v>22.8</v>
      </c>
      <c r="BF26" s="70">
        <v>24.9</v>
      </c>
      <c r="BG26" s="70">
        <v>23.5</v>
      </c>
      <c r="BH26" s="70">
        <v>24.1</v>
      </c>
      <c r="BI26" s="72">
        <f>SUM(BE26:BH26)</f>
        <v>95.300000000000011</v>
      </c>
      <c r="BJ26" s="70">
        <v>25.5</v>
      </c>
      <c r="BK26" s="70">
        <v>26</v>
      </c>
      <c r="BL26" s="70">
        <v>25.9</v>
      </c>
      <c r="BM26" s="70">
        <v>26.9</v>
      </c>
      <c r="BN26" s="72">
        <f>SUM(BJ26:BM26)</f>
        <v>104.30000000000001</v>
      </c>
      <c r="BO26" s="70">
        <v>29.1</v>
      </c>
      <c r="BP26" s="70">
        <v>29.3</v>
      </c>
      <c r="BQ26" s="70">
        <v>29.5</v>
      </c>
      <c r="BR26" s="70">
        <v>29.6</v>
      </c>
      <c r="BS26" s="72">
        <f>SUM(BO26:BR26)</f>
        <v>117.5</v>
      </c>
      <c r="BT26" s="70">
        <v>30.1</v>
      </c>
      <c r="BU26" s="70">
        <v>29.1</v>
      </c>
      <c r="BV26" s="70">
        <v>29.6</v>
      </c>
      <c r="BW26" s="70">
        <v>30.6</v>
      </c>
      <c r="BX26" s="72">
        <f>SUM(BT26:BW26)</f>
        <v>119.4</v>
      </c>
      <c r="BY26" s="70">
        <v>29.1</v>
      </c>
      <c r="BZ26" s="70">
        <v>29.3</v>
      </c>
      <c r="CA26" s="70">
        <v>29</v>
      </c>
      <c r="CB26" s="70">
        <v>29.1</v>
      </c>
      <c r="CC26" s="72">
        <f>SUM(BY26:CB26)</f>
        <v>116.5</v>
      </c>
      <c r="CD26" s="70">
        <v>28.2</v>
      </c>
      <c r="CE26" s="70">
        <v>27.8</v>
      </c>
      <c r="CF26" s="70">
        <v>26.9</v>
      </c>
      <c r="CG26" s="70">
        <v>27.3</v>
      </c>
      <c r="CH26" s="72">
        <f>SUM(CD26:CG26)</f>
        <v>110.2</v>
      </c>
      <c r="CI26" s="70">
        <v>27.4</v>
      </c>
      <c r="CJ26" s="70">
        <v>26.8</v>
      </c>
      <c r="CK26" s="70">
        <v>27</v>
      </c>
      <c r="CL26" s="70">
        <v>27.7</v>
      </c>
      <c r="CM26" s="72">
        <f>SUM(CI26:CL26)</f>
        <v>108.9</v>
      </c>
      <c r="CN26" s="70">
        <v>27.9</v>
      </c>
      <c r="CO26" s="70">
        <v>28</v>
      </c>
      <c r="CP26" s="70">
        <v>27.9</v>
      </c>
      <c r="CQ26" s="70">
        <v>28.6</v>
      </c>
      <c r="CR26" s="72">
        <f>SUM(CN26:CQ26)</f>
        <v>112.4</v>
      </c>
      <c r="CS26" s="70">
        <v>26.2</v>
      </c>
      <c r="CT26" s="70">
        <v>25.8</v>
      </c>
      <c r="CU26" s="70">
        <v>25.2</v>
      </c>
      <c r="CV26" s="70">
        <v>27.5</v>
      </c>
      <c r="CW26" s="72">
        <f>SUM(CS26:CV26)</f>
        <v>104.7</v>
      </c>
    </row>
    <row r="27" spans="1:101" x14ac:dyDescent="0.2">
      <c r="A27" s="1" t="s">
        <v>106</v>
      </c>
      <c r="B27" s="17">
        <f>B11</f>
        <v>3.5</v>
      </c>
      <c r="C27" s="17">
        <f>C11</f>
        <v>4.4000000000000004</v>
      </c>
      <c r="D27" s="17">
        <f>D11</f>
        <v>3.4</v>
      </c>
      <c r="E27" s="17">
        <f>E11</f>
        <v>4.4000000000000004</v>
      </c>
      <c r="F27" s="20">
        <f>SUM(B27:E27)</f>
        <v>15.700000000000001</v>
      </c>
      <c r="G27" s="17">
        <f>G11</f>
        <v>4.9000000000000004</v>
      </c>
      <c r="H27" s="17">
        <f>H11</f>
        <v>6.4</v>
      </c>
      <c r="I27" s="17">
        <f>I11</f>
        <v>5.3</v>
      </c>
      <c r="J27" s="17">
        <f>J11</f>
        <v>6.7</v>
      </c>
      <c r="K27" s="20">
        <f>SUM(G27:J27)</f>
        <v>23.3</v>
      </c>
      <c r="L27" s="17">
        <f>L11</f>
        <v>6</v>
      </c>
      <c r="M27" s="17">
        <f>M11</f>
        <v>6.3</v>
      </c>
      <c r="N27" s="17">
        <f>N11</f>
        <v>6.2</v>
      </c>
      <c r="O27" s="17">
        <f>O11</f>
        <v>6</v>
      </c>
      <c r="P27" s="20">
        <f>SUM(L27:O27)</f>
        <v>24.5</v>
      </c>
      <c r="Q27" s="17">
        <f>Q11</f>
        <v>4.3</v>
      </c>
      <c r="R27" s="17">
        <f>R11</f>
        <v>5.5</v>
      </c>
      <c r="S27" s="17">
        <f>S11</f>
        <v>5.5</v>
      </c>
      <c r="T27" s="17">
        <f>T11</f>
        <v>5.4</v>
      </c>
      <c r="U27" s="20">
        <f>SUM(Q27:T27)</f>
        <v>20.700000000000003</v>
      </c>
      <c r="V27" s="17">
        <f>V11</f>
        <v>5</v>
      </c>
      <c r="W27" s="17">
        <f>W11</f>
        <v>4.9000000000000004</v>
      </c>
      <c r="X27" s="17">
        <f>X11</f>
        <v>4.9000000000000004</v>
      </c>
      <c r="Y27" s="17">
        <f>Y11</f>
        <v>5</v>
      </c>
      <c r="Z27" s="20">
        <f>SUM(V27:Y27)</f>
        <v>19.8</v>
      </c>
      <c r="AA27" s="17">
        <f>AA11</f>
        <v>4.8</v>
      </c>
      <c r="AB27" s="17">
        <f>AB11</f>
        <v>4.9000000000000004</v>
      </c>
      <c r="AC27" s="17">
        <v>4.7</v>
      </c>
      <c r="AD27" s="17">
        <f>AD11</f>
        <v>4.4000000000000004</v>
      </c>
      <c r="AE27" s="20">
        <f>SUM(AA27:AD27)</f>
        <v>18.799999999999997</v>
      </c>
      <c r="AF27" s="17">
        <v>6.1</v>
      </c>
      <c r="AG27" s="17">
        <v>6.2</v>
      </c>
      <c r="AH27" s="17">
        <v>6.4</v>
      </c>
      <c r="AI27" s="17">
        <v>6.4</v>
      </c>
      <c r="AJ27" s="20">
        <f>SUM(AF27:AI27)</f>
        <v>25.1</v>
      </c>
      <c r="AK27" s="17">
        <v>5.6</v>
      </c>
      <c r="AL27" s="17">
        <v>5.2</v>
      </c>
      <c r="AM27" s="17">
        <v>5.3</v>
      </c>
      <c r="AN27" s="17">
        <v>9.3000000000000007</v>
      </c>
      <c r="AO27" s="20">
        <f>SUM(AK27:AN27)</f>
        <v>25.400000000000002</v>
      </c>
      <c r="AP27" s="17">
        <v>4.8</v>
      </c>
      <c r="AQ27" s="17">
        <v>4.8</v>
      </c>
      <c r="AR27" s="17">
        <v>4.9000000000000004</v>
      </c>
      <c r="AS27" s="17">
        <v>5.2</v>
      </c>
      <c r="AT27" s="20">
        <f>SUM(AP27:AS27)</f>
        <v>19.7</v>
      </c>
      <c r="AU27" s="17">
        <v>7.1</v>
      </c>
      <c r="AV27" s="17">
        <v>7.7</v>
      </c>
      <c r="AW27" s="17">
        <v>7.5</v>
      </c>
      <c r="AX27" s="17">
        <v>7.4</v>
      </c>
      <c r="AY27" s="72">
        <f>SUM(AU27:AX27)</f>
        <v>29.700000000000003</v>
      </c>
      <c r="AZ27" s="70">
        <v>7.2</v>
      </c>
      <c r="BA27" s="70">
        <v>7</v>
      </c>
      <c r="BB27" s="70">
        <v>7.1</v>
      </c>
      <c r="BC27" s="70">
        <v>7.3</v>
      </c>
      <c r="BD27" s="72">
        <f>SUM(AZ27:BC27)</f>
        <v>28.599999999999998</v>
      </c>
      <c r="BE27" s="70">
        <v>7.5</v>
      </c>
      <c r="BF27" s="70">
        <v>7</v>
      </c>
      <c r="BG27" s="70">
        <v>8.6999999999999993</v>
      </c>
      <c r="BH27" s="70">
        <v>7.4</v>
      </c>
      <c r="BI27" s="72">
        <f>SUM(BE27:BH27)</f>
        <v>30.6</v>
      </c>
      <c r="BJ27" s="70">
        <v>7.9</v>
      </c>
      <c r="BK27" s="70">
        <v>7.8</v>
      </c>
      <c r="BL27" s="70">
        <v>7.9</v>
      </c>
      <c r="BM27" s="70">
        <v>8.1999999999999993</v>
      </c>
      <c r="BN27" s="72">
        <f>SUM(BJ27:BM27)</f>
        <v>31.8</v>
      </c>
      <c r="BO27" s="70">
        <v>17.2</v>
      </c>
      <c r="BP27" s="70">
        <v>20.7</v>
      </c>
      <c r="BQ27" s="70">
        <v>18.899999999999999</v>
      </c>
      <c r="BR27" s="70">
        <v>17.600000000000001</v>
      </c>
      <c r="BS27" s="72">
        <f>SUM(BO27:BR27)</f>
        <v>74.400000000000006</v>
      </c>
      <c r="BT27" s="70">
        <v>17.399999999999999</v>
      </c>
      <c r="BU27" s="70">
        <v>17.399999999999999</v>
      </c>
      <c r="BV27" s="70">
        <v>17.399999999999999</v>
      </c>
      <c r="BW27" s="70">
        <v>17.8</v>
      </c>
      <c r="BX27" s="72">
        <f>SUM(BT27:BW27)</f>
        <v>70</v>
      </c>
      <c r="BY27" s="70">
        <v>17</v>
      </c>
      <c r="BZ27" s="70">
        <f>18.2+0.6</f>
        <v>18.8</v>
      </c>
      <c r="CA27" s="70">
        <v>17.600000000000001</v>
      </c>
      <c r="CB27" s="70">
        <v>17.399999999999999</v>
      </c>
      <c r="CC27" s="72">
        <f>SUM(BY27:CB27)</f>
        <v>70.8</v>
      </c>
      <c r="CD27" s="70">
        <v>17.5</v>
      </c>
      <c r="CE27" s="70">
        <v>16.7</v>
      </c>
      <c r="CF27" s="70">
        <v>17.2</v>
      </c>
      <c r="CG27" s="70">
        <v>18.2</v>
      </c>
      <c r="CH27" s="72">
        <f>SUM(CD27:CG27)</f>
        <v>69.600000000000009</v>
      </c>
      <c r="CI27" s="70">
        <v>18</v>
      </c>
      <c r="CJ27" s="70">
        <v>17.899999999999999</v>
      </c>
      <c r="CK27" s="70">
        <v>18</v>
      </c>
      <c r="CL27" s="70">
        <v>17.100000000000001</v>
      </c>
      <c r="CM27" s="72">
        <f>SUM(CI27:CL27)</f>
        <v>71</v>
      </c>
      <c r="CN27" s="70">
        <v>5</v>
      </c>
      <c r="CO27" s="70">
        <v>4.5999999999999996</v>
      </c>
      <c r="CP27" s="70">
        <v>8.5</v>
      </c>
      <c r="CQ27" s="70">
        <v>5.5</v>
      </c>
      <c r="CR27" s="72">
        <f>SUM(CN27:CQ27)</f>
        <v>23.6</v>
      </c>
      <c r="CS27" s="70">
        <v>5.4</v>
      </c>
      <c r="CT27" s="70">
        <v>3.9</v>
      </c>
      <c r="CU27" s="70">
        <v>4.2</v>
      </c>
      <c r="CV27" s="70">
        <v>4.2</v>
      </c>
      <c r="CW27" s="72">
        <f>SUM(CS27:CV27)</f>
        <v>17.7</v>
      </c>
    </row>
    <row r="28" spans="1:101" ht="12.75" thickBot="1" x14ac:dyDescent="0.25">
      <c r="A28" s="6" t="s">
        <v>107</v>
      </c>
      <c r="B28" s="19">
        <f t="shared" ref="B28:AG28" si="100">+B13+B26+B27</f>
        <v>109.40000000000005</v>
      </c>
      <c r="C28" s="19">
        <f t="shared" si="100"/>
        <v>129.69999999999999</v>
      </c>
      <c r="D28" s="19">
        <f t="shared" si="100"/>
        <v>154.89999999999998</v>
      </c>
      <c r="E28" s="19">
        <f t="shared" si="100"/>
        <v>128.29999999999998</v>
      </c>
      <c r="F28" s="23">
        <f t="shared" si="100"/>
        <v>522.2999999999995</v>
      </c>
      <c r="G28" s="19">
        <f t="shared" si="100"/>
        <v>125.99999999999989</v>
      </c>
      <c r="H28" s="19">
        <f t="shared" si="100"/>
        <v>125.1</v>
      </c>
      <c r="I28" s="19">
        <f t="shared" si="100"/>
        <v>141.90000000000003</v>
      </c>
      <c r="J28" s="19">
        <f t="shared" si="100"/>
        <v>-52.999999999999979</v>
      </c>
      <c r="K28" s="23">
        <f t="shared" si="100"/>
        <v>340.00000000000017</v>
      </c>
      <c r="L28" s="19">
        <f t="shared" si="100"/>
        <v>105.2999999999999</v>
      </c>
      <c r="M28" s="19">
        <f t="shared" si="100"/>
        <v>118.59999999999987</v>
      </c>
      <c r="N28" s="19">
        <f t="shared" si="100"/>
        <v>130.60000000000002</v>
      </c>
      <c r="O28" s="19">
        <f t="shared" si="100"/>
        <v>18.200000000000021</v>
      </c>
      <c r="P28" s="23">
        <f t="shared" si="100"/>
        <v>372.69999999999936</v>
      </c>
      <c r="Q28" s="19">
        <f t="shared" si="100"/>
        <v>49.399999999999991</v>
      </c>
      <c r="R28" s="19">
        <f t="shared" si="100"/>
        <v>74.099999999999937</v>
      </c>
      <c r="S28" s="19">
        <f t="shared" si="100"/>
        <v>127.49999999999996</v>
      </c>
      <c r="T28" s="19">
        <f t="shared" si="100"/>
        <v>109.60000000000005</v>
      </c>
      <c r="U28" s="23">
        <f t="shared" si="100"/>
        <v>360.60000000000031</v>
      </c>
      <c r="V28" s="19">
        <f t="shared" si="100"/>
        <v>109.1</v>
      </c>
      <c r="W28" s="19">
        <f t="shared" si="100"/>
        <v>114.39999999999992</v>
      </c>
      <c r="X28" s="19">
        <f t="shared" si="100"/>
        <v>105.60000000000005</v>
      </c>
      <c r="Y28" s="19">
        <f t="shared" si="100"/>
        <v>81.700000000000017</v>
      </c>
      <c r="Z28" s="23">
        <f t="shared" si="100"/>
        <v>410.80000000000013</v>
      </c>
      <c r="AA28" s="19">
        <f t="shared" si="100"/>
        <v>104.3</v>
      </c>
      <c r="AB28" s="19">
        <f t="shared" si="100"/>
        <v>109.3000000000001</v>
      </c>
      <c r="AC28" s="19">
        <f t="shared" si="100"/>
        <v>99.499999999999972</v>
      </c>
      <c r="AD28" s="19">
        <f t="shared" si="100"/>
        <v>41.6</v>
      </c>
      <c r="AE28" s="23">
        <f t="shared" si="100"/>
        <v>354.70000000000022</v>
      </c>
      <c r="AF28" s="19">
        <f t="shared" si="100"/>
        <v>99.699999999999946</v>
      </c>
      <c r="AG28" s="19">
        <f t="shared" si="100"/>
        <v>113.39999999999995</v>
      </c>
      <c r="AH28" s="19">
        <f t="shared" ref="AH28:BM28" si="101">+AH13+AH26+AH27</f>
        <v>116.49999999999997</v>
      </c>
      <c r="AI28" s="19">
        <f t="shared" si="101"/>
        <v>106.19999999999992</v>
      </c>
      <c r="AJ28" s="23">
        <f t="shared" si="101"/>
        <v>435.80000000000035</v>
      </c>
      <c r="AK28" s="19">
        <f t="shared" si="101"/>
        <v>107.39999999999996</v>
      </c>
      <c r="AL28" s="19">
        <f t="shared" si="101"/>
        <v>119.40000000000008</v>
      </c>
      <c r="AM28" s="19">
        <f t="shared" si="101"/>
        <v>126.70000000000002</v>
      </c>
      <c r="AN28" s="19">
        <f t="shared" si="101"/>
        <v>37.600000000000037</v>
      </c>
      <c r="AO28" s="23">
        <f t="shared" si="101"/>
        <v>391.10000000000014</v>
      </c>
      <c r="AP28" s="19">
        <f t="shared" si="101"/>
        <v>114.59999999999997</v>
      </c>
      <c r="AQ28" s="19">
        <f t="shared" si="101"/>
        <v>132.00000000000006</v>
      </c>
      <c r="AR28" s="19">
        <f t="shared" si="101"/>
        <v>104.30000000000001</v>
      </c>
      <c r="AS28" s="19">
        <f t="shared" si="101"/>
        <v>98.299999999999955</v>
      </c>
      <c r="AT28" s="23">
        <f t="shared" si="101"/>
        <v>449.2000000000005</v>
      </c>
      <c r="AU28" s="19">
        <f t="shared" si="101"/>
        <v>136.30000000000004</v>
      </c>
      <c r="AV28" s="19">
        <f t="shared" si="101"/>
        <v>139.89999999999986</v>
      </c>
      <c r="AW28" s="19">
        <f t="shared" si="101"/>
        <v>155.99999999999989</v>
      </c>
      <c r="AX28" s="19">
        <f t="shared" si="101"/>
        <v>117.09999999999997</v>
      </c>
      <c r="AY28" s="101">
        <f t="shared" si="101"/>
        <v>549.29999999999927</v>
      </c>
      <c r="AZ28" s="86">
        <f t="shared" si="101"/>
        <v>155.10000000000008</v>
      </c>
      <c r="BA28" s="86">
        <f t="shared" si="101"/>
        <v>183.89999999999984</v>
      </c>
      <c r="BB28" s="86">
        <f t="shared" si="101"/>
        <v>154.69999999999993</v>
      </c>
      <c r="BC28" s="86">
        <f t="shared" si="101"/>
        <v>157.40000000000026</v>
      </c>
      <c r="BD28" s="101">
        <f t="shared" si="101"/>
        <v>651.09999999999957</v>
      </c>
      <c r="BE28" s="86">
        <f t="shared" si="101"/>
        <v>145.99999999999991</v>
      </c>
      <c r="BF28" s="86">
        <f t="shared" si="101"/>
        <v>155.89999999999986</v>
      </c>
      <c r="BG28" s="86">
        <f t="shared" si="101"/>
        <v>148.29999999999978</v>
      </c>
      <c r="BH28" s="86">
        <f t="shared" si="101"/>
        <v>158</v>
      </c>
      <c r="BI28" s="101">
        <f t="shared" si="101"/>
        <v>608.19999999999948</v>
      </c>
      <c r="BJ28" s="86">
        <f t="shared" si="101"/>
        <v>146.69999999999996</v>
      </c>
      <c r="BK28" s="86">
        <f t="shared" si="101"/>
        <v>167.35000000000016</v>
      </c>
      <c r="BL28" s="86">
        <f t="shared" si="101"/>
        <v>163.39999999999986</v>
      </c>
      <c r="BM28" s="86">
        <f t="shared" si="101"/>
        <v>118.89999999999999</v>
      </c>
      <c r="BN28" s="101">
        <f t="shared" ref="BN28:CH28" si="102">+BN13+BN26+BN27</f>
        <v>596.39999999999941</v>
      </c>
      <c r="BO28" s="86">
        <f t="shared" si="102"/>
        <v>145.5999999999998</v>
      </c>
      <c r="BP28" s="86">
        <f t="shared" si="102"/>
        <v>176.50000000000014</v>
      </c>
      <c r="BQ28" s="86">
        <f t="shared" si="102"/>
        <v>186.5999999999998</v>
      </c>
      <c r="BR28" s="86">
        <f t="shared" si="102"/>
        <v>170.00000000000026</v>
      </c>
      <c r="BS28" s="101">
        <f t="shared" si="102"/>
        <v>678.7</v>
      </c>
      <c r="BT28" s="86">
        <f t="shared" si="102"/>
        <v>126.10000000000005</v>
      </c>
      <c r="BU28" s="86">
        <f t="shared" si="102"/>
        <v>69.199999999999903</v>
      </c>
      <c r="BV28" s="86">
        <f t="shared" si="102"/>
        <v>197.20000000000007</v>
      </c>
      <c r="BW28" s="86">
        <f t="shared" si="102"/>
        <v>204.40000000000012</v>
      </c>
      <c r="BX28" s="101">
        <f t="shared" si="102"/>
        <v>596.90000000000032</v>
      </c>
      <c r="BY28" s="86">
        <f t="shared" si="102"/>
        <v>173.8000000000001</v>
      </c>
      <c r="BZ28" s="86">
        <f t="shared" si="102"/>
        <v>220</v>
      </c>
      <c r="CA28" s="86">
        <f t="shared" si="102"/>
        <v>190.80000000000013</v>
      </c>
      <c r="CB28" s="86">
        <f t="shared" si="102"/>
        <v>198.7000000000001</v>
      </c>
      <c r="CC28" s="101">
        <f t="shared" si="102"/>
        <v>783.30000000000052</v>
      </c>
      <c r="CD28" s="86">
        <f t="shared" si="102"/>
        <v>183.29999999999995</v>
      </c>
      <c r="CE28" s="86">
        <f t="shared" si="102"/>
        <v>187.50000000000009</v>
      </c>
      <c r="CF28" s="86">
        <f t="shared" si="102"/>
        <v>157.29999999999998</v>
      </c>
      <c r="CG28" s="86">
        <f t="shared" si="102"/>
        <v>136.6999999999999</v>
      </c>
      <c r="CH28" s="101">
        <f t="shared" si="102"/>
        <v>664.79999999999939</v>
      </c>
      <c r="CI28" s="86">
        <f t="shared" ref="CI28:CQ28" si="103">+CI13+CI26+CI27</f>
        <v>134.6999999999999</v>
      </c>
      <c r="CJ28" s="86">
        <f t="shared" si="103"/>
        <v>140.4</v>
      </c>
      <c r="CK28" s="86">
        <f t="shared" si="103"/>
        <v>136.40000000000006</v>
      </c>
      <c r="CL28" s="86">
        <f t="shared" si="103"/>
        <v>-322.00000000000006</v>
      </c>
      <c r="CM28" s="101">
        <f>+CM13+CM26+CM27</f>
        <v>89.500000000000199</v>
      </c>
      <c r="CN28" s="86">
        <f t="shared" si="103"/>
        <v>95.900000000000091</v>
      </c>
      <c r="CO28" s="86">
        <f t="shared" si="103"/>
        <v>-581.70000000000016</v>
      </c>
      <c r="CP28" s="86">
        <f t="shared" si="103"/>
        <v>114.10000000000002</v>
      </c>
      <c r="CQ28" s="86">
        <f t="shared" si="103"/>
        <v>77.800000000000125</v>
      </c>
      <c r="CR28" s="101">
        <f>+CR13+CR26+CR27</f>
        <v>-293.89999999999964</v>
      </c>
      <c r="CS28" s="86">
        <f t="shared" ref="CS28:CV28" si="104">+CS13+CS26+CS27</f>
        <v>94.500000000000014</v>
      </c>
      <c r="CT28" s="86">
        <f t="shared" si="104"/>
        <v>120.10000000000002</v>
      </c>
      <c r="CU28" s="86">
        <f t="shared" si="104"/>
        <v>200.50000000000003</v>
      </c>
      <c r="CV28" s="86">
        <f t="shared" si="104"/>
        <v>63.300000000000075</v>
      </c>
      <c r="CW28" s="101">
        <f>+CW13+CW26+CW27</f>
        <v>478.39999999999986</v>
      </c>
    </row>
    <row r="29" spans="1:101" ht="6" customHeight="1" thickTop="1" x14ac:dyDescent="0.2">
      <c r="D29" s="1"/>
      <c r="F29" s="9"/>
      <c r="K29" s="9"/>
      <c r="P29" s="9"/>
      <c r="U29" s="9"/>
      <c r="Z29" s="9"/>
      <c r="AE29" s="9"/>
      <c r="AJ29" s="9"/>
      <c r="AO29" s="9"/>
      <c r="AT29" s="9"/>
      <c r="AY29" s="9"/>
      <c r="BD29" s="9"/>
      <c r="BI29" s="64"/>
      <c r="BN29" s="9"/>
      <c r="BS29" s="9"/>
      <c r="BX29" s="9"/>
      <c r="CC29" s="9"/>
      <c r="CH29" s="9"/>
      <c r="CM29" s="9"/>
      <c r="CR29" s="9"/>
      <c r="CW29" s="9"/>
    </row>
    <row r="30" spans="1:101" x14ac:dyDescent="0.2">
      <c r="A30" s="6" t="s">
        <v>108</v>
      </c>
      <c r="B30" s="30"/>
      <c r="C30" s="30"/>
      <c r="D30" s="30"/>
      <c r="E30" s="30"/>
      <c r="F30" s="9"/>
      <c r="K30" s="9"/>
      <c r="P30" s="9"/>
      <c r="U30" s="9"/>
      <c r="Z30" s="9"/>
      <c r="AE30" s="9"/>
      <c r="AJ30" s="9"/>
      <c r="AO30" s="9"/>
      <c r="AT30" s="9"/>
      <c r="AY30" s="9"/>
      <c r="BD30" s="9"/>
      <c r="BI30" s="9"/>
      <c r="BK30" s="102"/>
      <c r="BN30" s="9"/>
      <c r="BS30" s="9"/>
      <c r="BX30" s="9"/>
      <c r="CC30" s="9"/>
      <c r="CH30" s="9"/>
      <c r="CM30" s="9"/>
      <c r="CR30" s="9"/>
      <c r="CW30" s="9"/>
    </row>
    <row r="31" spans="1:101" x14ac:dyDescent="0.2">
      <c r="A31" s="16" t="s">
        <v>109</v>
      </c>
      <c r="B31" s="24">
        <f t="shared" ref="B31:U31" si="105">(+B19-B22)/B$35</f>
        <v>0.23591923485653588</v>
      </c>
      <c r="C31" s="24">
        <f t="shared" si="105"/>
        <v>0.34646088344864284</v>
      </c>
      <c r="D31" s="24">
        <f t="shared" si="105"/>
        <v>0.38969404186795475</v>
      </c>
      <c r="E31" s="24">
        <f t="shared" si="105"/>
        <v>0.29329004329004321</v>
      </c>
      <c r="F31" s="14">
        <f t="shared" si="105"/>
        <v>1.2649892933618814</v>
      </c>
      <c r="G31" s="29">
        <f t="shared" si="105"/>
        <v>0.30652173913043412</v>
      </c>
      <c r="H31" s="24">
        <f t="shared" si="105"/>
        <v>0.30832420591456733</v>
      </c>
      <c r="I31" s="24">
        <f t="shared" si="105"/>
        <v>0.36133032694475764</v>
      </c>
      <c r="J31" s="41">
        <f t="shared" si="105"/>
        <v>-0.66932725199543885</v>
      </c>
      <c r="K31" s="42">
        <f t="shared" si="105"/>
        <v>0.33036707452725317</v>
      </c>
      <c r="L31" s="39">
        <f t="shared" si="105"/>
        <v>0.22632794457274769</v>
      </c>
      <c r="M31" s="41">
        <f t="shared" si="105"/>
        <v>0.25364437317784183</v>
      </c>
      <c r="N31" s="41">
        <f t="shared" si="105"/>
        <v>0.29139072847682124</v>
      </c>
      <c r="O31" s="41">
        <f t="shared" si="105"/>
        <v>-5.0679851668726697E-2</v>
      </c>
      <c r="P31" s="14">
        <f t="shared" si="105"/>
        <v>0.73067782401902137</v>
      </c>
      <c r="Q31" s="39">
        <f t="shared" si="105"/>
        <v>2.230483271375459E-2</v>
      </c>
      <c r="R31" s="41">
        <f t="shared" si="105"/>
        <v>0.11928306551297854</v>
      </c>
      <c r="S31" s="41">
        <f t="shared" si="105"/>
        <v>0.34143302180685337</v>
      </c>
      <c r="T31" s="41">
        <f t="shared" si="105"/>
        <v>0.25992317541613347</v>
      </c>
      <c r="U31" s="14">
        <f t="shared" si="105"/>
        <v>0.73937500000000189</v>
      </c>
      <c r="V31" s="39">
        <f t="shared" ref="V31:AE31" si="106">(+V19-V22)/V$35</f>
        <v>0.29617627997407647</v>
      </c>
      <c r="W31" s="41">
        <f t="shared" si="106"/>
        <v>0.33940182054616336</v>
      </c>
      <c r="X31" s="41">
        <f t="shared" si="106"/>
        <v>0.31393067364290422</v>
      </c>
      <c r="Y31" s="41">
        <f t="shared" si="106"/>
        <v>0.20669291338582682</v>
      </c>
      <c r="Z31" s="14">
        <f t="shared" si="106"/>
        <v>1.1572080887149387</v>
      </c>
      <c r="AA31" s="39">
        <f t="shared" si="106"/>
        <v>0.29840848806366049</v>
      </c>
      <c r="AB31" s="41">
        <f t="shared" si="106"/>
        <v>0.3710990502035284</v>
      </c>
      <c r="AC31" s="41">
        <f t="shared" si="106"/>
        <v>0.3094417643004822</v>
      </c>
      <c r="AD31" s="41">
        <f t="shared" si="106"/>
        <v>6.0124395300622011E-2</v>
      </c>
      <c r="AE31" s="14">
        <f t="shared" si="106"/>
        <v>1.0428571428571443</v>
      </c>
      <c r="AF31" s="39">
        <f t="shared" ref="AF31:AJ31" si="107">(+AF19-AF22)/AF$35</f>
        <v>0.29841488628532015</v>
      </c>
      <c r="AG31" s="41">
        <f t="shared" si="107"/>
        <v>0.39546079779917431</v>
      </c>
      <c r="AH31" s="41">
        <f t="shared" ref="AH31:AI31" si="108">(+AH19-AH22)/AH$35</f>
        <v>0.34428473648186153</v>
      </c>
      <c r="AI31" s="41">
        <f t="shared" si="108"/>
        <v>0.53260869565217328</v>
      </c>
      <c r="AJ31" s="14">
        <f t="shared" si="107"/>
        <v>1.5719178082191805</v>
      </c>
      <c r="AK31" s="39">
        <f t="shared" ref="AK31:AO31" si="109">(+AK19-AK22)/AK$35</f>
        <v>0.33310810810810793</v>
      </c>
      <c r="AL31" s="41">
        <f t="shared" si="109"/>
        <v>0.39837947332883233</v>
      </c>
      <c r="AM31" s="41">
        <f t="shared" ref="AM31:AN31" si="110">(+AM19-AM22)/AM$35</f>
        <v>0.44761904761904781</v>
      </c>
      <c r="AN31" s="41">
        <f t="shared" si="110"/>
        <v>6.7169294037011856E-2</v>
      </c>
      <c r="AO31" s="14">
        <f t="shared" si="109"/>
        <v>1.249320652173914</v>
      </c>
      <c r="AP31" s="39">
        <f t="shared" ref="AP31:AT31" si="111">(+AP19-AP22)/AP$35</f>
        <v>0.38472222222222202</v>
      </c>
      <c r="AQ31" s="41">
        <f t="shared" si="111"/>
        <v>0.48078266946191517</v>
      </c>
      <c r="AR31" s="41">
        <f t="shared" ref="AR31:AS31" si="112">(+AR19-AR22)/AR$35</f>
        <v>0.36912280701754385</v>
      </c>
      <c r="AS31" s="41">
        <f t="shared" si="112"/>
        <v>0.31586303284416456</v>
      </c>
      <c r="AT31" s="14">
        <f t="shared" si="111"/>
        <v>1.5502793296089423</v>
      </c>
      <c r="AU31" s="39">
        <f>(+AU19-AU22)/AU$35</f>
        <v>0.48052851182197537</v>
      </c>
      <c r="AV31" s="41">
        <f>(+AV19-AV22)/AV$35</f>
        <v>0.50209205020920422</v>
      </c>
      <c r="AW31" s="41">
        <f t="shared" ref="AW31:AX31" si="113">(+AW19-AW22)/AW$35</f>
        <v>0.6084210526315782</v>
      </c>
      <c r="AX31" s="41">
        <f t="shared" si="113"/>
        <v>0.45665961945031691</v>
      </c>
      <c r="AY31" s="14">
        <f t="shared" ref="AY31" si="114">(+AY19-AY22)/AY$35</f>
        <v>2.0475857242827096</v>
      </c>
      <c r="AZ31" s="39">
        <f t="shared" ref="AZ31:BD31" si="115">(+AZ19-AZ22)/AZ$35</f>
        <v>0.63243626062323011</v>
      </c>
      <c r="BA31" s="41">
        <f t="shared" si="115"/>
        <v>0.7580299785867225</v>
      </c>
      <c r="BB31" s="41">
        <f t="shared" ref="BB31:BC31" si="116">(+BB19-BB22)/BB$35</f>
        <v>0.64921090387374414</v>
      </c>
      <c r="BC31" s="41">
        <f t="shared" si="116"/>
        <v>0.64080459770115139</v>
      </c>
      <c r="BD31" s="14">
        <f t="shared" si="115"/>
        <v>2.6799999999999971</v>
      </c>
      <c r="BE31" s="39">
        <f t="shared" ref="BE31:BF31" si="117">(+BE19-BE22)/BE$35</f>
        <v>0.62273714699493066</v>
      </c>
      <c r="BF31" s="39">
        <f t="shared" si="117"/>
        <v>0.6448326055312944</v>
      </c>
      <c r="BG31" s="39">
        <f>(+BG19-BG22)/BG$35+0.01</f>
        <v>0.65134404674945079</v>
      </c>
      <c r="BH31" s="39">
        <f>(+BH19-BH22)/BH$35+0.01</f>
        <v>0.34308931185944369</v>
      </c>
      <c r="BI31" s="42">
        <f>(+BI19-BI22)/BI$35+0.01</f>
        <v>2.2525345957756691</v>
      </c>
      <c r="BJ31" s="39">
        <f t="shared" ref="BJ31" si="118">(+BJ19-BJ22)/BJ$35</f>
        <v>0.60381511371973551</v>
      </c>
      <c r="BK31" s="39">
        <f>(+BK19-BK22)/BK$35</f>
        <v>0.69888888888889011</v>
      </c>
      <c r="BL31" s="39">
        <f t="shared" ref="BL31" si="119">(+BL19-BL22)/BL$35</f>
        <v>0.69710467706013268</v>
      </c>
      <c r="BM31" s="39">
        <f t="shared" ref="BM31" si="120">(+BM19-BM22)/BM$35</f>
        <v>0.39272457312546399</v>
      </c>
      <c r="BN31" s="14">
        <f t="shared" ref="BN31:BO31" si="121">(+BN19-BN22)/BN$35</f>
        <v>2.3927514792899371</v>
      </c>
      <c r="BO31" s="39">
        <f t="shared" si="121"/>
        <v>0.46074074074073934</v>
      </c>
      <c r="BP31" s="39">
        <f t="shared" ref="BP31:BR31" si="122">(+BP19-BP22)/BP$35</f>
        <v>0.58505917159763421</v>
      </c>
      <c r="BQ31" s="39">
        <f t="shared" si="122"/>
        <v>0.70236336779911224</v>
      </c>
      <c r="BR31" s="39">
        <f t="shared" si="122"/>
        <v>0.57142857142857328</v>
      </c>
      <c r="BS31" s="14">
        <f t="shared" ref="BS31" si="123">(+BS19-BS22)/BS$35</f>
        <v>2.3190546528803546</v>
      </c>
      <c r="BT31" s="39">
        <f>(+BT19-BT22)/BT$35</f>
        <v>0.32522123893805349</v>
      </c>
      <c r="BU31" s="39">
        <f>(+BU19-BU22)/BU$35-0.01</f>
        <v>-5.4952100221076564E-2</v>
      </c>
      <c r="BV31" s="39">
        <f t="shared" ref="BV31:CA31" si="124">(+BV19-BV22)/BV$35</f>
        <v>0.78618662747979484</v>
      </c>
      <c r="BW31" s="39">
        <f t="shared" si="124"/>
        <v>0.7929515418502211</v>
      </c>
      <c r="BX31" s="14">
        <f t="shared" si="124"/>
        <v>1.8616629874908046</v>
      </c>
      <c r="BY31" s="39">
        <f t="shared" si="124"/>
        <v>0.64196625091709547</v>
      </c>
      <c r="BZ31" s="39">
        <f t="shared" si="124"/>
        <v>0.82017543859649111</v>
      </c>
      <c r="CA31" s="39">
        <f t="shared" si="124"/>
        <v>0.71000730460190009</v>
      </c>
      <c r="CB31" s="39">
        <f t="shared" ref="CB31" si="125">(+CB19-CB22)/CB$35</f>
        <v>0.77007299270073082</v>
      </c>
      <c r="CC31" s="14">
        <f>(+CC19-CC22)/CC$35</f>
        <v>2.9436722750548694</v>
      </c>
      <c r="CD31" s="39">
        <f t="shared" ref="CD31:CE31" si="126">(+CD19-CD22)/CD$35</f>
        <v>0.66033601168736278</v>
      </c>
      <c r="CE31" s="39">
        <f t="shared" si="126"/>
        <v>0.69641550841258304</v>
      </c>
      <c r="CF31" s="39">
        <f t="shared" ref="CF31:CG31" si="127">(+CF19-CF22)/CF$35</f>
        <v>0.52461425422483476</v>
      </c>
      <c r="CG31" s="39">
        <f t="shared" si="127"/>
        <v>0.38795003673769224</v>
      </c>
      <c r="CH31" s="14">
        <f>(+CH19-CH22)/CH$35</f>
        <v>2.2695970695970646</v>
      </c>
      <c r="CI31" s="39">
        <f t="shared" ref="CI31" si="128">(+CI19-CI22)/CI$35</f>
        <v>0.39251650770359425</v>
      </c>
      <c r="CJ31" s="39">
        <f t="shared" ref="CJ31:CK31" si="129">(+CJ19-CJ22)/CJ$35</f>
        <v>0.39677891654465608</v>
      </c>
      <c r="CK31" s="39">
        <f t="shared" si="129"/>
        <v>0.38596491228070218</v>
      </c>
      <c r="CL31" s="39">
        <f t="shared" ref="CL31" si="130">(+CL19-CL22)/CL$35</f>
        <v>-2.1780219780219787</v>
      </c>
      <c r="CM31" s="42">
        <f>(+CM19-CM22)/CM$35</f>
        <v>-1.0036683785766674</v>
      </c>
      <c r="CN31" s="39">
        <f t="shared" ref="CN31:CQ31" si="131">(+CN19-CN22)/CN$35</f>
        <v>0.23015294974508435</v>
      </c>
      <c r="CO31" s="39">
        <f t="shared" si="131"/>
        <v>-4.3860160233066283</v>
      </c>
      <c r="CP31" s="39">
        <f t="shared" si="131"/>
        <v>0.32536231884057987</v>
      </c>
      <c r="CQ31" s="39">
        <f t="shared" si="131"/>
        <v>0.10274963820550023</v>
      </c>
      <c r="CR31" s="42">
        <f>(+CR19-CR22)/CR$35</f>
        <v>-3.7254187909686785</v>
      </c>
      <c r="CS31" s="39">
        <f t="shared" ref="CS31:CV31" si="132">(+CS19-CS22)/CS$35</f>
        <v>0.22077922077922085</v>
      </c>
      <c r="CT31" s="39">
        <f t="shared" si="132"/>
        <v>0.37607449856733538</v>
      </c>
      <c r="CU31" s="39">
        <f t="shared" si="132"/>
        <v>0.9065620542082744</v>
      </c>
      <c r="CV31" s="39">
        <f t="shared" si="132"/>
        <v>0.17948717948718002</v>
      </c>
      <c r="CW31" s="40">
        <v>1.69</v>
      </c>
    </row>
    <row r="32" spans="1:101" x14ac:dyDescent="0.2">
      <c r="A32" s="16" t="s">
        <v>110</v>
      </c>
      <c r="B32" s="24">
        <f t="shared" ref="B32:U32" si="133">B20/B$35</f>
        <v>9.4048884165781083E-2</v>
      </c>
      <c r="C32" s="24">
        <f t="shared" si="133"/>
        <v>0.10164981373070783</v>
      </c>
      <c r="D32" s="24">
        <f t="shared" si="133"/>
        <v>6.1191626409017714E-2</v>
      </c>
      <c r="E32" s="24">
        <f t="shared" si="133"/>
        <v>8.6580086580086577E-2</v>
      </c>
      <c r="F32" s="14">
        <f t="shared" si="133"/>
        <v>0.34368308351177723</v>
      </c>
      <c r="G32" s="29">
        <f t="shared" si="133"/>
        <v>0.10489130434782609</v>
      </c>
      <c r="H32" s="24">
        <f t="shared" si="133"/>
        <v>2.0262869660460023E-2</v>
      </c>
      <c r="I32" s="24">
        <f t="shared" si="133"/>
        <v>9.0191657271702363E-3</v>
      </c>
      <c r="J32" s="41">
        <f t="shared" si="133"/>
        <v>-0.54275940706955528</v>
      </c>
      <c r="K32" s="42">
        <f t="shared" si="133"/>
        <v>-0.3926585094549499</v>
      </c>
      <c r="L32" s="29">
        <f t="shared" si="133"/>
        <v>2.4249422632794459E-2</v>
      </c>
      <c r="M32" s="24">
        <f t="shared" si="133"/>
        <v>1.6326530612244896E-2</v>
      </c>
      <c r="N32" s="41">
        <f t="shared" si="133"/>
        <v>-9.4521372667068032E-2</v>
      </c>
      <c r="O32" s="41">
        <f t="shared" si="133"/>
        <v>-6.0568603213844253E-2</v>
      </c>
      <c r="P32" s="42">
        <f t="shared" si="133"/>
        <v>-0.10998810939357909</v>
      </c>
      <c r="Q32" s="39">
        <f t="shared" si="133"/>
        <v>-1.8587360594795538E-3</v>
      </c>
      <c r="R32" s="24">
        <f t="shared" si="133"/>
        <v>6.1804697156983925E-4</v>
      </c>
      <c r="S32" s="41">
        <f t="shared" si="133"/>
        <v>-3.1152647975077881E-3</v>
      </c>
      <c r="T32" s="41">
        <f t="shared" si="133"/>
        <v>-3.4571062740076833E-2</v>
      </c>
      <c r="U32" s="42">
        <f t="shared" si="133"/>
        <v>-3.8125000000000006E-2</v>
      </c>
      <c r="V32" s="39">
        <f t="shared" ref="V32:AE32" si="134">V20/V$35</f>
        <v>-3.888528839922229E-3</v>
      </c>
      <c r="W32" s="24">
        <f t="shared" si="134"/>
        <v>3.2509752925877762E-3</v>
      </c>
      <c r="X32" s="41">
        <f t="shared" si="134"/>
        <v>-3.9241334205362983E-3</v>
      </c>
      <c r="Y32" s="41">
        <f t="shared" si="134"/>
        <v>-6.5616797900262466E-4</v>
      </c>
      <c r="Z32" s="42">
        <f t="shared" si="134"/>
        <v>-5.2185257664709708E-3</v>
      </c>
      <c r="AA32" s="39">
        <f t="shared" si="134"/>
        <v>0</v>
      </c>
      <c r="AB32" s="24">
        <f t="shared" si="134"/>
        <v>0</v>
      </c>
      <c r="AC32" s="41">
        <f t="shared" si="134"/>
        <v>0</v>
      </c>
      <c r="AD32" s="41">
        <f t="shared" si="134"/>
        <v>0</v>
      </c>
      <c r="AE32" s="42">
        <f t="shared" si="134"/>
        <v>0</v>
      </c>
      <c r="AF32" s="39">
        <f t="shared" ref="AF32:AJ32" si="135">AF20/AF$35</f>
        <v>4.8242591316333561E-3</v>
      </c>
      <c r="AG32" s="24">
        <f t="shared" si="135"/>
        <v>5.0894085281980743E-2</v>
      </c>
      <c r="AH32" s="24">
        <f t="shared" ref="AH32:AI32" si="136">AH20/AH$35</f>
        <v>0.10609171800136893</v>
      </c>
      <c r="AI32" s="41">
        <f t="shared" si="136"/>
        <v>-3.3288043478260872E-2</v>
      </c>
      <c r="AJ32" s="42">
        <f t="shared" si="135"/>
        <v>0.12808219178082195</v>
      </c>
      <c r="AK32" s="39">
        <f t="shared" ref="AK32:AO32" si="137">AK20/AK$35</f>
        <v>-1.3513513513513514E-3</v>
      </c>
      <c r="AL32" s="24">
        <f t="shared" si="137"/>
        <v>8.3051991897366659E-2</v>
      </c>
      <c r="AM32" s="24">
        <f t="shared" ref="AM32:AN32" si="138">AM20/AM$35</f>
        <v>3.7414965986394558E-2</v>
      </c>
      <c r="AN32" s="41">
        <f t="shared" si="138"/>
        <v>-2.8786840301576421E-2</v>
      </c>
      <c r="AO32" s="42">
        <f t="shared" si="137"/>
        <v>9.103260869565219E-2</v>
      </c>
      <c r="AP32" s="39">
        <f t="shared" ref="AP32:AT32" si="139">AP20/AP$35</f>
        <v>-1.5972222222222221E-2</v>
      </c>
      <c r="AQ32" s="41">
        <f t="shared" si="139"/>
        <v>-0.64779874213836486</v>
      </c>
      <c r="AR32" s="41">
        <f t="shared" ref="AR32" si="140">AR20/AR$35</f>
        <v>-3.0877192982456142E-2</v>
      </c>
      <c r="AS32" s="41">
        <v>-0.18</v>
      </c>
      <c r="AT32" s="42">
        <f t="shared" si="139"/>
        <v>-0.86592178770949724</v>
      </c>
      <c r="AU32" s="39">
        <f t="shared" ref="AU32:AV32" si="141">AU20/AU$35</f>
        <v>-3.4770514603616131E-3</v>
      </c>
      <c r="AV32" s="41">
        <f t="shared" si="141"/>
        <v>1.2552301255230125E-2</v>
      </c>
      <c r="AW32" s="41">
        <f t="shared" ref="AW32:AX32" si="142">AW20/AW$35</f>
        <v>-7.0175438596491234E-4</v>
      </c>
      <c r="AX32" s="41">
        <f t="shared" si="142"/>
        <v>0</v>
      </c>
      <c r="AY32" s="42">
        <f t="shared" ref="AY32:BA32" si="143">AY20/AY$35</f>
        <v>8.3974807557732675E-3</v>
      </c>
      <c r="AZ32" s="39">
        <f t="shared" si="143"/>
        <v>0</v>
      </c>
      <c r="BA32" s="41">
        <f t="shared" si="143"/>
        <v>0.145610278372591</v>
      </c>
      <c r="BB32" s="41">
        <f t="shared" ref="BB32:BC32" si="144">BB20/BB$35</f>
        <v>0</v>
      </c>
      <c r="BC32" s="41">
        <f t="shared" si="144"/>
        <v>-9.3390804597701157E-3</v>
      </c>
      <c r="BD32" s="42">
        <f t="shared" ref="BD32:BG32" si="145">BD20/BD$35</f>
        <v>0.13642857142857143</v>
      </c>
      <c r="BE32" s="39">
        <f t="shared" si="145"/>
        <v>0</v>
      </c>
      <c r="BF32" s="39">
        <f t="shared" si="145"/>
        <v>0</v>
      </c>
      <c r="BG32" s="39">
        <f t="shared" si="145"/>
        <v>-6.5741417092768442E-3</v>
      </c>
      <c r="BH32" s="41">
        <v>0</v>
      </c>
      <c r="BI32" s="42">
        <f t="shared" ref="BI32:BJ32" si="146">BI20/BI$35</f>
        <v>-6.5549890750182076E-3</v>
      </c>
      <c r="BJ32" s="39">
        <f t="shared" si="146"/>
        <v>0</v>
      </c>
      <c r="BK32" s="39">
        <f t="shared" ref="BK32" si="147">BK20/BK$35</f>
        <v>0</v>
      </c>
      <c r="BL32" s="39">
        <f t="shared" ref="BL32" si="148">BL20/BL$35</f>
        <v>0</v>
      </c>
      <c r="BM32" s="41">
        <f t="shared" ref="BM32" si="149">BM20/BM$35</f>
        <v>0</v>
      </c>
      <c r="BN32" s="42">
        <f t="shared" ref="BN32:BO32" si="150">BN20/BN$35</f>
        <v>0</v>
      </c>
      <c r="BO32" s="39">
        <f t="shared" si="150"/>
        <v>0</v>
      </c>
      <c r="BP32" s="39">
        <f t="shared" ref="BP32" si="151">BP20/BP$35</f>
        <v>0</v>
      </c>
      <c r="BQ32" s="39">
        <v>0</v>
      </c>
      <c r="BR32" s="41">
        <v>0</v>
      </c>
      <c r="BS32" s="14">
        <f t="shared" ref="BS32:BT32" si="152">BS20/BS$35</f>
        <v>0</v>
      </c>
      <c r="BT32" s="39">
        <f t="shared" si="152"/>
        <v>0</v>
      </c>
      <c r="BU32" s="39">
        <f t="shared" ref="BU32:BV32" si="153">BU20/BU$35</f>
        <v>0</v>
      </c>
      <c r="BV32" s="39">
        <f t="shared" si="153"/>
        <v>0</v>
      </c>
      <c r="BW32" s="41">
        <f t="shared" ref="BW32" si="154">BW20/BW$35</f>
        <v>0</v>
      </c>
      <c r="BX32" s="14">
        <f t="shared" ref="BX32:BY32" si="155">BX20/BX$35</f>
        <v>0</v>
      </c>
      <c r="BY32" s="39">
        <f t="shared" si="155"/>
        <v>0</v>
      </c>
      <c r="BZ32" s="39">
        <f t="shared" ref="BZ32:CA32" si="156">BZ20/BZ$35</f>
        <v>0</v>
      </c>
      <c r="CA32" s="39">
        <f t="shared" si="156"/>
        <v>0</v>
      </c>
      <c r="CB32" s="39">
        <f t="shared" ref="CB32" si="157">CB20/CB$35</f>
        <v>0</v>
      </c>
      <c r="CC32" s="14">
        <f t="shared" ref="CC32:CE32" si="158">CC20/CC$35</f>
        <v>0</v>
      </c>
      <c r="CD32" s="39">
        <f t="shared" si="158"/>
        <v>0</v>
      </c>
      <c r="CE32" s="39">
        <f t="shared" si="158"/>
        <v>0</v>
      </c>
      <c r="CF32" s="39">
        <f t="shared" ref="CF32:CG32" si="159">CF20/CF$35</f>
        <v>0</v>
      </c>
      <c r="CG32" s="39">
        <f t="shared" si="159"/>
        <v>0</v>
      </c>
      <c r="CH32" s="14">
        <f t="shared" ref="CH32:CI32" si="160">CH20/CH$35</f>
        <v>0</v>
      </c>
      <c r="CI32" s="39">
        <f t="shared" si="160"/>
        <v>0</v>
      </c>
      <c r="CJ32" s="39">
        <f t="shared" ref="CJ32:CK32" si="161">CJ20/CJ$35</f>
        <v>0</v>
      </c>
      <c r="CK32" s="39">
        <f t="shared" si="161"/>
        <v>0</v>
      </c>
      <c r="CL32" s="39">
        <f t="shared" ref="CL32" si="162">CL20/CL$35</f>
        <v>0</v>
      </c>
      <c r="CM32" s="14">
        <f t="shared" ref="CM32:CQ32" si="163">CM20/CM$35</f>
        <v>0</v>
      </c>
      <c r="CN32" s="39">
        <f t="shared" si="163"/>
        <v>0</v>
      </c>
      <c r="CO32" s="39">
        <f t="shared" si="163"/>
        <v>0</v>
      </c>
      <c r="CP32" s="39">
        <f t="shared" si="163"/>
        <v>0</v>
      </c>
      <c r="CQ32" s="39">
        <f t="shared" si="163"/>
        <v>0</v>
      </c>
      <c r="CR32" s="14">
        <f t="shared" ref="CR32:CV32" si="164">CR20/CR$35</f>
        <v>0</v>
      </c>
      <c r="CS32" s="39">
        <f t="shared" si="164"/>
        <v>0</v>
      </c>
      <c r="CT32" s="39">
        <f t="shared" si="164"/>
        <v>0</v>
      </c>
      <c r="CU32" s="39">
        <f t="shared" si="164"/>
        <v>0</v>
      </c>
      <c r="CV32" s="39">
        <f t="shared" si="164"/>
        <v>0</v>
      </c>
      <c r="CW32" s="58">
        <f t="shared" ref="CW32" si="165">CW20/CW$35</f>
        <v>0</v>
      </c>
    </row>
    <row r="33" spans="1:101" x14ac:dyDescent="0.2">
      <c r="A33" s="16" t="s">
        <v>111</v>
      </c>
      <c r="B33" s="24">
        <f t="shared" ref="B33:O33" si="166">SUM(B31:B32)</f>
        <v>0.32996811902231693</v>
      </c>
      <c r="C33" s="24">
        <f t="shared" si="166"/>
        <v>0.4481106971793507</v>
      </c>
      <c r="D33" s="24">
        <f t="shared" si="166"/>
        <v>0.45088566827697246</v>
      </c>
      <c r="E33" s="24">
        <f t="shared" si="166"/>
        <v>0.3798701298701298</v>
      </c>
      <c r="F33" s="14">
        <f t="shared" si="166"/>
        <v>1.6086723768736586</v>
      </c>
      <c r="G33" s="29">
        <f t="shared" si="166"/>
        <v>0.41141304347826024</v>
      </c>
      <c r="H33" s="29">
        <f t="shared" si="166"/>
        <v>0.32858707557502737</v>
      </c>
      <c r="I33" s="29">
        <f t="shared" si="166"/>
        <v>0.37034949267192785</v>
      </c>
      <c r="J33" s="39">
        <f t="shared" si="166"/>
        <v>-1.2120866590649941</v>
      </c>
      <c r="K33" s="40">
        <f t="shared" si="166"/>
        <v>-6.2291434927696732E-2</v>
      </c>
      <c r="L33" s="29">
        <f t="shared" si="166"/>
        <v>0.25057736720554213</v>
      </c>
      <c r="M33" s="29">
        <f t="shared" si="166"/>
        <v>0.2699709037900867</v>
      </c>
      <c r="N33" s="39">
        <f t="shared" si="166"/>
        <v>0.1968693558097532</v>
      </c>
      <c r="O33" s="39">
        <f t="shared" si="166"/>
        <v>-0.11124845488257096</v>
      </c>
      <c r="P33" s="43">
        <f>+P23/P35</f>
        <v>0.62068971462544231</v>
      </c>
      <c r="Q33" s="29">
        <f>SUM(Q31:Q32)</f>
        <v>2.0446096654275037E-2</v>
      </c>
      <c r="R33" s="29">
        <f>SUM(R31:R32)</f>
        <v>0.11990111248454838</v>
      </c>
      <c r="S33" s="39">
        <f>SUM(S31:S32)</f>
        <v>0.33831775700934558</v>
      </c>
      <c r="T33" s="39">
        <f>SUM(T31:T32)</f>
        <v>0.22535211267605665</v>
      </c>
      <c r="U33" s="43">
        <f>+U23/U35</f>
        <v>0.70125000000000193</v>
      </c>
      <c r="V33" s="29">
        <f>SUM(V31:V32)</f>
        <v>0.29228775113415423</v>
      </c>
      <c r="W33" s="29">
        <f>SUM(W31:W32)</f>
        <v>0.34265279583875113</v>
      </c>
      <c r="X33" s="39">
        <f>SUM(X31:X32)</f>
        <v>0.3100065402223679</v>
      </c>
      <c r="Y33" s="39">
        <f>SUM(Y31:Y32)</f>
        <v>0.20603674540682421</v>
      </c>
      <c r="Z33" s="43">
        <f>+Z23/Z35</f>
        <v>1.1519895629484678</v>
      </c>
      <c r="AA33" s="29">
        <f>SUM(AA31:AA32)</f>
        <v>0.29840848806366049</v>
      </c>
      <c r="AB33" s="29">
        <f>SUM(AB31:AB32)</f>
        <v>0.3710990502035284</v>
      </c>
      <c r="AC33" s="39">
        <f>SUM(AC31:AC32)</f>
        <v>0.3094417643004822</v>
      </c>
      <c r="AD33" s="39">
        <f>SUM(AD31:AD32)</f>
        <v>6.0124395300622011E-2</v>
      </c>
      <c r="AE33" s="43">
        <f>+AE23/AE35</f>
        <v>1.0428571428571443</v>
      </c>
      <c r="AF33" s="29">
        <f>SUM(AF31:AF32)</f>
        <v>0.30323914541695351</v>
      </c>
      <c r="AG33" s="29">
        <f>SUM(AG31:AG32)</f>
        <v>0.44635488308115506</v>
      </c>
      <c r="AH33" s="29">
        <f>SUM(AH31:AH32)</f>
        <v>0.45037645448323049</v>
      </c>
      <c r="AI33" s="39">
        <f>SUM(AI31:AI32)</f>
        <v>0.49932065217391242</v>
      </c>
      <c r="AJ33" s="42">
        <f>+AJ23/AJ35</f>
        <v>1.7000000000000022</v>
      </c>
      <c r="AK33" s="29">
        <f>SUM(AK31:AK32)</f>
        <v>0.33175675675675659</v>
      </c>
      <c r="AL33" s="29">
        <f>SUM(AL31:AL32)</f>
        <v>0.48143146522619901</v>
      </c>
      <c r="AM33" s="29">
        <f>SUM(AM31:AM32)</f>
        <v>0.48503401360544235</v>
      </c>
      <c r="AN33" s="39">
        <f>SUM(AN31:AN32)</f>
        <v>3.8382453735435432E-2</v>
      </c>
      <c r="AO33" s="42">
        <f>+AO23/AO35</f>
        <v>1.3403532608695661</v>
      </c>
      <c r="AP33" s="29">
        <f>SUM(AP31:AP32)</f>
        <v>0.3687499999999998</v>
      </c>
      <c r="AQ33" s="39">
        <f>SUM(AQ31:AQ32)</f>
        <v>-0.16701607267644969</v>
      </c>
      <c r="AR33" s="39">
        <f>SUM(AR31:AR32)</f>
        <v>0.33824561403508768</v>
      </c>
      <c r="AS33" s="39">
        <f>SUM(AS31:AS32)</f>
        <v>0.13586303284416457</v>
      </c>
      <c r="AT33" s="42">
        <f>+AT23/AT35</f>
        <v>0.68435754189944487</v>
      </c>
      <c r="AU33" s="29">
        <f>SUM(AU31:AU32)</f>
        <v>0.47705146036161378</v>
      </c>
      <c r="AV33" s="39">
        <f>SUM(AV31:AV32)</f>
        <v>0.51464435146443432</v>
      </c>
      <c r="AW33" s="39">
        <f>SUM(AW31:AW32)</f>
        <v>0.60771929824561333</v>
      </c>
      <c r="AX33" s="39">
        <f>SUM(AX31:AX32)</f>
        <v>0.45665961945031691</v>
      </c>
      <c r="AY33" s="42">
        <f>+AY23/AY35</f>
        <v>2.055983205038483</v>
      </c>
      <c r="AZ33" s="29">
        <f>SUM(AZ31:AZ32)</f>
        <v>0.63243626062323011</v>
      </c>
      <c r="BA33" s="39">
        <f>SUM(BA31:BA32)</f>
        <v>0.90364025695931349</v>
      </c>
      <c r="BB33" s="39">
        <f>SUM(BB31:BB32)</f>
        <v>0.64921090387374414</v>
      </c>
      <c r="BC33" s="39">
        <f>SUM(BC31:BC32)</f>
        <v>0.63146551724138122</v>
      </c>
      <c r="BD33" s="42">
        <f>+BD23/BD35</f>
        <v>2.8164285714285686</v>
      </c>
      <c r="BE33" s="29">
        <f>SUM(BE31:BE32)</f>
        <v>0.62273714699493066</v>
      </c>
      <c r="BF33" s="29">
        <f>SUM(BF31:BF32)</f>
        <v>0.6448326055312944</v>
      </c>
      <c r="BG33" s="29">
        <f>SUM(BG31:BG32)</f>
        <v>0.64476990504017395</v>
      </c>
      <c r="BH33" s="29">
        <f>SUM(BH31:BH32)</f>
        <v>0.34308931185944369</v>
      </c>
      <c r="BI33" s="42">
        <f>+BI23/BI35</f>
        <v>2.235979606700651</v>
      </c>
      <c r="BJ33" s="29">
        <f>SUM(BJ31:BJ32)</f>
        <v>0.60381511371973551</v>
      </c>
      <c r="BK33" s="29">
        <f>SUM(BK31:BK32)</f>
        <v>0.69888888888889011</v>
      </c>
      <c r="BL33" s="29">
        <f>SUM(BL31:BL32)</f>
        <v>0.69710467706013268</v>
      </c>
      <c r="BM33" s="29">
        <f>SUM(BM31:BM32)</f>
        <v>0.39272457312546399</v>
      </c>
      <c r="BN33" s="42">
        <f>+BN23/BN35</f>
        <v>2.3927514792899371</v>
      </c>
      <c r="BO33" s="29">
        <f>SUM(BO31:BO32)</f>
        <v>0.46074074074073934</v>
      </c>
      <c r="BP33" s="29">
        <f>SUM(BP31:BP32)</f>
        <v>0.58505917159763421</v>
      </c>
      <c r="BQ33" s="29">
        <f>SUM(BQ31:BQ32)</f>
        <v>0.70236336779911224</v>
      </c>
      <c r="BR33" s="29">
        <f>SUM(BR31:BR32)</f>
        <v>0.57142857142857328</v>
      </c>
      <c r="BS33" s="14">
        <f>+BS23/BS35</f>
        <v>2.3190546528803546</v>
      </c>
      <c r="BT33" s="29">
        <f>SUM(BT31:BT32)</f>
        <v>0.32522123893805349</v>
      </c>
      <c r="BU33" s="39">
        <f>SUM(BU31:BU32)</f>
        <v>-5.4952100221076564E-2</v>
      </c>
      <c r="BV33" s="39">
        <f>SUM(BV31:BV32)</f>
        <v>0.78618662747979484</v>
      </c>
      <c r="BW33" s="29">
        <f>SUM(BW31:BW32)</f>
        <v>0.7929515418502211</v>
      </c>
      <c r="BX33" s="14">
        <f>+BX23/BX35</f>
        <v>1.8616629874908046</v>
      </c>
      <c r="BY33" s="29">
        <f>SUM(BY31:BY32)</f>
        <v>0.64196625091709547</v>
      </c>
      <c r="BZ33" s="29">
        <f>SUM(BZ31:BZ32)</f>
        <v>0.82017543859649111</v>
      </c>
      <c r="CA33" s="39">
        <f>SUM(CA31:CA32)</f>
        <v>0.71000730460190009</v>
      </c>
      <c r="CB33" s="39">
        <f>SUM(CB31:CB32)</f>
        <v>0.77007299270073082</v>
      </c>
      <c r="CC33" s="14">
        <f>+CC23/CC35</f>
        <v>2.9436722750548694</v>
      </c>
      <c r="CD33" s="29">
        <f>SUM(CD31:CD32)</f>
        <v>0.66033601168736278</v>
      </c>
      <c r="CE33" s="29">
        <f>SUM(CE31:CE32)</f>
        <v>0.69641550841258304</v>
      </c>
      <c r="CF33" s="29">
        <f>SUM(CF31:CF32)</f>
        <v>0.52461425422483476</v>
      </c>
      <c r="CG33" s="29">
        <f>SUM(CG31:CG32)</f>
        <v>0.38795003673769224</v>
      </c>
      <c r="CH33" s="14">
        <f>+CH23/CH35</f>
        <v>2.2695970695970646</v>
      </c>
      <c r="CI33" s="29">
        <f>SUM(CI31:CI32)</f>
        <v>0.39251650770359425</v>
      </c>
      <c r="CJ33" s="29">
        <f>SUM(CJ31:CJ32)</f>
        <v>0.39677891654465608</v>
      </c>
      <c r="CK33" s="29">
        <f>SUM(CK31:CK32)</f>
        <v>0.38596491228070218</v>
      </c>
      <c r="CL33" s="39">
        <f>SUM(CL31:CL32)</f>
        <v>-2.1780219780219787</v>
      </c>
      <c r="CM33" s="42">
        <f>+CM23/CM35</f>
        <v>-1.0036683785766674</v>
      </c>
      <c r="CN33" s="29">
        <f>SUM(CN31:CN32)</f>
        <v>0.23015294974508435</v>
      </c>
      <c r="CO33" s="39">
        <f>SUM(CO31:CO32)</f>
        <v>-4.3860160233066283</v>
      </c>
      <c r="CP33" s="29">
        <f>SUM(CP31:CP32)</f>
        <v>0.32536231884057987</v>
      </c>
      <c r="CQ33" s="29">
        <f>SUM(CQ31:CQ32)</f>
        <v>0.10274963820550023</v>
      </c>
      <c r="CR33" s="42">
        <f>+CR23/CR35</f>
        <v>-3.7254187909686785</v>
      </c>
      <c r="CS33" s="29">
        <f>SUM(CS31:CS32)</f>
        <v>0.22077922077922085</v>
      </c>
      <c r="CT33" s="39">
        <f>SUM(CT31:CT32)</f>
        <v>0.37607449856733538</v>
      </c>
      <c r="CU33" s="29">
        <f>SUM(CU31:CU32)</f>
        <v>0.9065620542082744</v>
      </c>
      <c r="CV33" s="29">
        <f>SUM(CV31:CV32)</f>
        <v>0.17948717948718002</v>
      </c>
      <c r="CW33" s="40">
        <v>1.69</v>
      </c>
    </row>
    <row r="34" spans="1:101" ht="6" customHeight="1" x14ac:dyDescent="0.2">
      <c r="B34" s="11"/>
      <c r="C34" s="11"/>
      <c r="D34" s="11"/>
      <c r="E34" s="11"/>
      <c r="F34" s="10"/>
      <c r="G34" s="11"/>
      <c r="H34" s="11"/>
      <c r="I34" s="11"/>
      <c r="J34" s="11"/>
      <c r="K34" s="10"/>
      <c r="L34" s="11"/>
      <c r="M34" s="11"/>
      <c r="N34" s="11"/>
      <c r="O34" s="11"/>
      <c r="P34" s="10"/>
      <c r="Q34" s="11"/>
      <c r="R34" s="11"/>
      <c r="S34" s="11"/>
      <c r="T34" s="11"/>
      <c r="U34" s="10"/>
      <c r="V34" s="11"/>
      <c r="W34" s="11"/>
      <c r="X34" s="11"/>
      <c r="Y34" s="11"/>
      <c r="Z34" s="10"/>
      <c r="AA34" s="11"/>
      <c r="AB34" s="11"/>
      <c r="AC34" s="11"/>
      <c r="AD34" s="11"/>
      <c r="AE34" s="10"/>
      <c r="AF34" s="11"/>
      <c r="AG34" s="11"/>
      <c r="AH34" s="11"/>
      <c r="AI34" s="11"/>
      <c r="AJ34" s="10"/>
      <c r="AK34" s="11"/>
      <c r="AL34" s="11"/>
      <c r="AM34" s="11"/>
      <c r="AN34" s="11"/>
      <c r="AO34" s="10"/>
      <c r="AP34" s="11"/>
      <c r="AQ34" s="11"/>
      <c r="AR34" s="11"/>
      <c r="AS34" s="11"/>
      <c r="AT34" s="10"/>
      <c r="AU34" s="11"/>
      <c r="AV34" s="11"/>
      <c r="AW34" s="11"/>
      <c r="AX34" s="11"/>
      <c r="AY34" s="10"/>
      <c r="AZ34" s="11"/>
      <c r="BA34" s="11"/>
      <c r="BB34" s="11"/>
      <c r="BC34" s="11"/>
      <c r="BD34" s="10"/>
      <c r="BE34" s="11"/>
      <c r="BF34" s="11"/>
      <c r="BG34" s="11"/>
      <c r="BH34" s="11"/>
      <c r="BI34" s="10"/>
      <c r="BJ34" s="11"/>
      <c r="BK34" s="11"/>
      <c r="BL34" s="11"/>
      <c r="BM34" s="11"/>
      <c r="BN34" s="10"/>
      <c r="BO34" s="11"/>
      <c r="BP34" s="11"/>
      <c r="BQ34" s="11"/>
      <c r="BR34" s="11"/>
      <c r="BS34" s="10"/>
      <c r="BT34" s="11"/>
      <c r="BU34" s="11"/>
      <c r="BV34" s="11"/>
      <c r="BW34" s="11"/>
      <c r="BX34" s="10"/>
      <c r="BY34" s="11"/>
      <c r="BZ34" s="11"/>
      <c r="CA34" s="11"/>
      <c r="CB34" s="11"/>
      <c r="CC34" s="10"/>
      <c r="CD34" s="11"/>
      <c r="CE34" s="11"/>
      <c r="CF34" s="11"/>
      <c r="CG34" s="11"/>
      <c r="CH34" s="10"/>
      <c r="CI34" s="11"/>
      <c r="CJ34" s="11"/>
      <c r="CK34" s="11"/>
      <c r="CL34" s="11"/>
      <c r="CM34" s="10"/>
      <c r="CN34" s="11"/>
      <c r="CO34" s="11"/>
      <c r="CP34" s="11"/>
      <c r="CQ34" s="11"/>
      <c r="CR34" s="10"/>
      <c r="CS34" s="11"/>
      <c r="CT34" s="11"/>
      <c r="CU34" s="11"/>
      <c r="CV34" s="11"/>
      <c r="CW34" s="10"/>
    </row>
    <row r="35" spans="1:101" x14ac:dyDescent="0.2">
      <c r="A35" s="1" t="s">
        <v>112</v>
      </c>
      <c r="B35" s="17">
        <v>188.2</v>
      </c>
      <c r="C35" s="17">
        <v>187.9</v>
      </c>
      <c r="D35" s="17">
        <v>186.3</v>
      </c>
      <c r="E35" s="17">
        <v>184.8</v>
      </c>
      <c r="F35" s="20">
        <v>186.8</v>
      </c>
      <c r="G35" s="17">
        <v>184</v>
      </c>
      <c r="H35" s="17">
        <v>182.6</v>
      </c>
      <c r="I35" s="17">
        <v>177.4</v>
      </c>
      <c r="J35" s="17">
        <v>175.4</v>
      </c>
      <c r="K35" s="20">
        <v>179.8</v>
      </c>
      <c r="L35" s="17">
        <v>173.2</v>
      </c>
      <c r="M35" s="17">
        <v>171.5</v>
      </c>
      <c r="N35" s="17">
        <v>166.1</v>
      </c>
      <c r="O35" s="17">
        <v>161.80000000000001</v>
      </c>
      <c r="P35" s="20">
        <v>168.2</v>
      </c>
      <c r="Q35" s="17">
        <v>161.4</v>
      </c>
      <c r="R35" s="17">
        <v>161.80000000000001</v>
      </c>
      <c r="S35" s="17">
        <v>160.5</v>
      </c>
      <c r="T35" s="17">
        <v>156.19999999999999</v>
      </c>
      <c r="U35" s="20">
        <v>160</v>
      </c>
      <c r="V35" s="17">
        <v>154.30000000000001</v>
      </c>
      <c r="W35" s="17">
        <v>153.80000000000001</v>
      </c>
      <c r="X35" s="17">
        <v>152.9</v>
      </c>
      <c r="Y35" s="17">
        <v>152.4</v>
      </c>
      <c r="Z35" s="20">
        <v>153.30000000000001</v>
      </c>
      <c r="AA35" s="17">
        <v>150.80000000000001</v>
      </c>
      <c r="AB35" s="17">
        <v>147.4</v>
      </c>
      <c r="AC35" s="17">
        <v>145.1</v>
      </c>
      <c r="AD35" s="17">
        <v>144.69999999999999</v>
      </c>
      <c r="AE35" s="20">
        <v>147</v>
      </c>
      <c r="AF35" s="17">
        <v>145.1</v>
      </c>
      <c r="AG35" s="17">
        <v>145.4</v>
      </c>
      <c r="AH35" s="17">
        <v>146.1</v>
      </c>
      <c r="AI35" s="17">
        <v>147.19999999999999</v>
      </c>
      <c r="AJ35" s="20">
        <v>146</v>
      </c>
      <c r="AK35" s="17">
        <v>148</v>
      </c>
      <c r="AL35" s="17">
        <v>148.1</v>
      </c>
      <c r="AM35" s="17">
        <v>147</v>
      </c>
      <c r="AN35" s="17">
        <v>145.9</v>
      </c>
      <c r="AO35" s="20">
        <v>147.19999999999999</v>
      </c>
      <c r="AP35" s="17">
        <v>144</v>
      </c>
      <c r="AQ35" s="17">
        <v>143.1</v>
      </c>
      <c r="AR35" s="17">
        <v>142.5</v>
      </c>
      <c r="AS35" s="17">
        <v>143.1</v>
      </c>
      <c r="AT35" s="20">
        <v>143.19999999999999</v>
      </c>
      <c r="AU35" s="17">
        <v>143.80000000000001</v>
      </c>
      <c r="AV35" s="17">
        <v>143.4</v>
      </c>
      <c r="AW35" s="17">
        <v>142.5</v>
      </c>
      <c r="AX35" s="17">
        <v>141.9</v>
      </c>
      <c r="AY35" s="20">
        <v>142.9</v>
      </c>
      <c r="AZ35" s="17">
        <v>141.19999999999999</v>
      </c>
      <c r="BA35" s="17">
        <v>140.1</v>
      </c>
      <c r="BB35" s="17">
        <v>139.4</v>
      </c>
      <c r="BC35" s="17">
        <v>139.19999999999999</v>
      </c>
      <c r="BD35" s="20">
        <v>140</v>
      </c>
      <c r="BE35" s="17">
        <v>138.1</v>
      </c>
      <c r="BF35" s="17">
        <v>137.4</v>
      </c>
      <c r="BG35" s="17">
        <v>136.9</v>
      </c>
      <c r="BH35" s="17">
        <v>136.6</v>
      </c>
      <c r="BI35" s="20">
        <v>137.30000000000001</v>
      </c>
      <c r="BJ35" s="17">
        <v>136.30000000000001</v>
      </c>
      <c r="BK35" s="17">
        <v>135</v>
      </c>
      <c r="BL35" s="17">
        <v>134.69999999999999</v>
      </c>
      <c r="BM35" s="17">
        <v>134.69999999999999</v>
      </c>
      <c r="BN35" s="20">
        <v>135.19999999999999</v>
      </c>
      <c r="BO35" s="17">
        <v>135</v>
      </c>
      <c r="BP35" s="17">
        <v>135.19999999999999</v>
      </c>
      <c r="BQ35" s="17">
        <v>135.4</v>
      </c>
      <c r="BR35" s="17">
        <v>135.80000000000001</v>
      </c>
      <c r="BS35" s="20">
        <v>135.4</v>
      </c>
      <c r="BT35" s="17">
        <v>135.6</v>
      </c>
      <c r="BU35" s="17">
        <v>135.69999999999999</v>
      </c>
      <c r="BV35" s="17">
        <v>136.1</v>
      </c>
      <c r="BW35" s="17">
        <v>136.19999999999999</v>
      </c>
      <c r="BX35" s="20">
        <v>135.9</v>
      </c>
      <c r="BY35" s="17">
        <v>136.30000000000001</v>
      </c>
      <c r="BZ35" s="17">
        <v>136.80000000000001</v>
      </c>
      <c r="CA35" s="17">
        <v>136.9</v>
      </c>
      <c r="CB35" s="17">
        <v>137</v>
      </c>
      <c r="CC35" s="20">
        <v>136.69999999999999</v>
      </c>
      <c r="CD35" s="17">
        <v>136.9</v>
      </c>
      <c r="CE35" s="17">
        <v>136.69999999999999</v>
      </c>
      <c r="CF35" s="17">
        <v>136.1</v>
      </c>
      <c r="CG35" s="17">
        <v>136.1</v>
      </c>
      <c r="CH35" s="20">
        <v>136.5</v>
      </c>
      <c r="CI35" s="17">
        <v>136.30000000000001</v>
      </c>
      <c r="CJ35" s="17">
        <v>136.6</v>
      </c>
      <c r="CK35" s="17">
        <v>136.80000000000001</v>
      </c>
      <c r="CL35" s="17">
        <v>136.5</v>
      </c>
      <c r="CM35" s="20">
        <v>136.30000000000001</v>
      </c>
      <c r="CN35" s="17">
        <v>137.30000000000001</v>
      </c>
      <c r="CO35" s="17">
        <v>137.30000000000001</v>
      </c>
      <c r="CP35" s="17">
        <v>138</v>
      </c>
      <c r="CQ35" s="17">
        <v>138.19999999999999</v>
      </c>
      <c r="CR35" s="20">
        <v>137.30000000000001</v>
      </c>
      <c r="CS35" s="17">
        <v>138.6</v>
      </c>
      <c r="CT35" s="17">
        <v>139.6</v>
      </c>
      <c r="CU35" s="17">
        <v>140.19999999999999</v>
      </c>
      <c r="CV35" s="17">
        <v>140.4</v>
      </c>
      <c r="CW35" s="20">
        <v>139.69999999999999</v>
      </c>
    </row>
    <row r="36" spans="1:101" x14ac:dyDescent="0.2">
      <c r="A36" s="13" t="s">
        <v>113</v>
      </c>
      <c r="B36" s="24">
        <v>0.16</v>
      </c>
      <c r="C36" s="24">
        <v>0.17</v>
      </c>
      <c r="D36" s="24">
        <v>0.17</v>
      </c>
      <c r="E36" s="24">
        <v>0.17</v>
      </c>
      <c r="F36" s="14">
        <f>SUM(B36:E36)</f>
        <v>0.67</v>
      </c>
      <c r="G36" s="24">
        <v>0.17</v>
      </c>
      <c r="H36" s="24">
        <v>0.18</v>
      </c>
      <c r="I36" s="24">
        <v>0.18</v>
      </c>
      <c r="J36" s="24">
        <v>0.25</v>
      </c>
      <c r="K36" s="14">
        <f>SUM(G36:J36)</f>
        <v>0.78</v>
      </c>
      <c r="L36" s="24">
        <v>0.25</v>
      </c>
      <c r="M36" s="24">
        <v>0.25</v>
      </c>
      <c r="N36" s="24">
        <v>0.25</v>
      </c>
      <c r="O36" s="24">
        <v>0.25</v>
      </c>
      <c r="P36" s="14">
        <f>SUM(L36:O36)</f>
        <v>1</v>
      </c>
      <c r="Q36" s="24">
        <v>0.25</v>
      </c>
      <c r="R36" s="24">
        <v>0.25</v>
      </c>
      <c r="S36" s="24">
        <v>0.26</v>
      </c>
      <c r="T36" s="24">
        <v>0.26</v>
      </c>
      <c r="U36" s="14">
        <f>SUM(Q36:T36)</f>
        <v>1.02</v>
      </c>
      <c r="V36" s="24">
        <v>0.26</v>
      </c>
      <c r="W36" s="24">
        <v>0.26</v>
      </c>
      <c r="X36" s="24">
        <v>0.27</v>
      </c>
      <c r="Y36" s="24">
        <v>0.27</v>
      </c>
      <c r="Z36" s="14">
        <f>SUM(V36:Y36)</f>
        <v>1.06</v>
      </c>
      <c r="AA36" s="24">
        <v>0.27</v>
      </c>
      <c r="AB36" s="24">
        <v>0.27</v>
      </c>
      <c r="AC36" s="24">
        <v>0.28000000000000003</v>
      </c>
      <c r="AD36" s="24">
        <v>0.28000000000000003</v>
      </c>
      <c r="AE36" s="14">
        <f>SUM(AA36:AD36)</f>
        <v>1.1000000000000001</v>
      </c>
      <c r="AF36" s="24">
        <v>0.28000000000000003</v>
      </c>
      <c r="AG36" s="24">
        <v>0.28000000000000003</v>
      </c>
      <c r="AH36" s="24">
        <v>0.28999999999999998</v>
      </c>
      <c r="AI36" s="24">
        <v>0.28999999999999998</v>
      </c>
      <c r="AJ36" s="14">
        <f>SUM(AF36:AI36)</f>
        <v>1.1400000000000001</v>
      </c>
      <c r="AK36" s="24">
        <v>0.28999999999999998</v>
      </c>
      <c r="AL36" s="24">
        <v>0.28999999999999998</v>
      </c>
      <c r="AM36" s="24">
        <v>0.3</v>
      </c>
      <c r="AN36" s="24">
        <v>0.3</v>
      </c>
      <c r="AO36" s="14">
        <f>SUM(AK36:AN36)</f>
        <v>1.18</v>
      </c>
      <c r="AP36" s="24">
        <v>0.3</v>
      </c>
      <c r="AQ36" s="24">
        <v>0.3</v>
      </c>
      <c r="AR36" s="24">
        <v>0.31</v>
      </c>
      <c r="AS36" s="24">
        <v>0.31</v>
      </c>
      <c r="AT36" s="14">
        <f>SUM(AP36:AS36)</f>
        <v>1.22</v>
      </c>
      <c r="AU36" s="24">
        <v>0.31</v>
      </c>
      <c r="AV36" s="24">
        <v>0.31</v>
      </c>
      <c r="AW36" s="24">
        <v>0.32</v>
      </c>
      <c r="AX36" s="24">
        <v>0.32</v>
      </c>
      <c r="AY36" s="14">
        <f>SUM(AU36:AX36)</f>
        <v>1.26</v>
      </c>
      <c r="AZ36" s="24">
        <v>0.32</v>
      </c>
      <c r="BA36" s="24">
        <v>0.34</v>
      </c>
      <c r="BB36" s="24">
        <v>0.34</v>
      </c>
      <c r="BC36" s="24">
        <v>0.34</v>
      </c>
      <c r="BD36" s="14">
        <f>SUM(AZ36:BC36)</f>
        <v>1.34</v>
      </c>
      <c r="BE36" s="24">
        <v>0.34</v>
      </c>
      <c r="BF36" s="24">
        <v>0.36</v>
      </c>
      <c r="BG36" s="24">
        <v>0.36</v>
      </c>
      <c r="BH36" s="24">
        <v>0.36</v>
      </c>
      <c r="BI36" s="14">
        <f>SUM(BE36:BH36)</f>
        <v>1.42</v>
      </c>
      <c r="BJ36" s="24">
        <v>0.36</v>
      </c>
      <c r="BK36" s="24">
        <v>0.38</v>
      </c>
      <c r="BL36" s="24">
        <v>0.38</v>
      </c>
      <c r="BM36" s="24">
        <v>0.38</v>
      </c>
      <c r="BN36" s="14">
        <f>SUM(BJ36:BM36)</f>
        <v>1.5</v>
      </c>
      <c r="BO36" s="24">
        <v>0.38</v>
      </c>
      <c r="BP36" s="24">
        <v>0.4</v>
      </c>
      <c r="BQ36" s="24">
        <v>0.4</v>
      </c>
      <c r="BR36" s="24">
        <v>0.4</v>
      </c>
      <c r="BS36" s="14">
        <f>SUM(BO36:BR36)</f>
        <v>1.58</v>
      </c>
      <c r="BT36" s="24">
        <v>0.4</v>
      </c>
      <c r="BU36" s="24">
        <v>0.4</v>
      </c>
      <c r="BV36" s="24">
        <v>0.4</v>
      </c>
      <c r="BW36" s="24">
        <v>0.4</v>
      </c>
      <c r="BX36" s="14">
        <f>SUM(BT36:BW36)</f>
        <v>1.6</v>
      </c>
      <c r="BY36" s="24">
        <v>0.4</v>
      </c>
      <c r="BZ36" s="24">
        <v>0.42</v>
      </c>
      <c r="CA36" s="24">
        <v>0.42</v>
      </c>
      <c r="CB36" s="29">
        <v>0.42</v>
      </c>
      <c r="CC36" s="14">
        <f>SUM(BY36:CB36)</f>
        <v>1.66</v>
      </c>
      <c r="CD36" s="24">
        <v>0.42</v>
      </c>
      <c r="CE36" s="24">
        <v>0.44</v>
      </c>
      <c r="CF36" s="24">
        <v>0.44</v>
      </c>
      <c r="CG36" s="24">
        <v>0.44</v>
      </c>
      <c r="CH36" s="14">
        <f>SUM(CD36:CG36)</f>
        <v>1.74</v>
      </c>
      <c r="CI36" s="24">
        <v>0.44</v>
      </c>
      <c r="CJ36" s="24">
        <v>0.46</v>
      </c>
      <c r="CK36" s="24">
        <v>0.46</v>
      </c>
      <c r="CL36" s="24">
        <v>0.46</v>
      </c>
      <c r="CM36" s="14">
        <f>SUM(CI36:CL36)</f>
        <v>1.82</v>
      </c>
      <c r="CN36" s="24">
        <v>0.46</v>
      </c>
      <c r="CO36" s="24">
        <v>0.05</v>
      </c>
      <c r="CP36" s="24">
        <v>0.05</v>
      </c>
      <c r="CQ36" s="24">
        <v>0.05</v>
      </c>
      <c r="CR36" s="14">
        <f>SUM(CN36:CQ36)</f>
        <v>0.6100000000000001</v>
      </c>
      <c r="CS36" s="24">
        <v>0.05</v>
      </c>
      <c r="CT36" s="24">
        <v>0.05</v>
      </c>
      <c r="CU36" s="24">
        <v>0.05</v>
      </c>
      <c r="CV36" s="24">
        <v>0.05</v>
      </c>
      <c r="CW36" s="14">
        <f>SUM(CS36:CV36)</f>
        <v>0.2</v>
      </c>
    </row>
    <row r="37" spans="1:101" ht="12.75" thickBot="1" x14ac:dyDescent="0.25">
      <c r="D37" s="1"/>
      <c r="F37" s="9"/>
      <c r="K37" s="9"/>
      <c r="P37" s="9"/>
      <c r="U37" s="9"/>
      <c r="Z37" s="9"/>
      <c r="AE37" s="9"/>
      <c r="AJ37" s="9"/>
      <c r="AO37" s="9"/>
      <c r="AT37" s="9"/>
      <c r="AY37" s="9"/>
      <c r="BD37" s="9"/>
      <c r="BI37" s="9"/>
      <c r="BN37" s="9"/>
      <c r="BS37" s="9"/>
      <c r="BX37" s="9"/>
      <c r="CC37" s="9"/>
      <c r="CH37" s="9"/>
      <c r="CM37" s="9"/>
      <c r="CR37" s="9"/>
      <c r="CW37" s="9"/>
    </row>
    <row r="38" spans="1:101" ht="12.75" thickBot="1" x14ac:dyDescent="0.25">
      <c r="A38" s="25" t="s">
        <v>114</v>
      </c>
      <c r="D38" s="1"/>
      <c r="F38" s="9"/>
      <c r="K38" s="9"/>
      <c r="P38" s="9"/>
      <c r="U38" s="9"/>
      <c r="Z38" s="9"/>
      <c r="AE38" s="9"/>
      <c r="AJ38" s="9"/>
      <c r="AO38" s="9"/>
      <c r="AT38" s="9"/>
      <c r="AY38" s="9"/>
      <c r="BD38" s="9"/>
      <c r="BI38" s="9"/>
      <c r="BN38" s="9"/>
      <c r="BS38" s="9"/>
      <c r="BX38" s="9"/>
      <c r="CC38" s="9"/>
      <c r="CH38" s="9"/>
      <c r="CM38" s="9"/>
      <c r="CR38" s="9"/>
      <c r="CW38" s="9"/>
    </row>
    <row r="39" spans="1:101" x14ac:dyDescent="0.2">
      <c r="A39" s="6" t="s">
        <v>115</v>
      </c>
      <c r="B39" s="18">
        <v>147.69999999999999</v>
      </c>
      <c r="C39" s="18">
        <v>67.8</v>
      </c>
      <c r="D39" s="18">
        <v>93.5</v>
      </c>
      <c r="E39" s="18">
        <v>169.9</v>
      </c>
      <c r="F39" s="22">
        <f>SUM(B39:E39)</f>
        <v>478.9</v>
      </c>
      <c r="G39" s="18">
        <v>148.6</v>
      </c>
      <c r="H39" s="18">
        <v>92.7</v>
      </c>
      <c r="I39" s="18">
        <v>194.2</v>
      </c>
      <c r="J39" s="18">
        <v>178.2</v>
      </c>
      <c r="K39" s="22">
        <f>SUM(G39:J39)</f>
        <v>613.70000000000005</v>
      </c>
      <c r="L39" s="18">
        <v>53.1</v>
      </c>
      <c r="M39" s="18">
        <v>73.400000000000006</v>
      </c>
      <c r="N39" s="18">
        <v>76.599999999999994</v>
      </c>
      <c r="O39" s="18">
        <v>233.1</v>
      </c>
      <c r="P39" s="22">
        <f>SUM(L39:O39)</f>
        <v>436.2</v>
      </c>
      <c r="Q39" s="18">
        <v>114.8</v>
      </c>
      <c r="R39" s="18">
        <v>173.6</v>
      </c>
      <c r="S39" s="18">
        <v>142</v>
      </c>
      <c r="T39" s="18">
        <v>134.9</v>
      </c>
      <c r="U39" s="22">
        <f>SUM(Q39:T39)</f>
        <v>565.29999999999995</v>
      </c>
      <c r="V39" s="18">
        <v>51.1</v>
      </c>
      <c r="W39" s="18">
        <v>66.8</v>
      </c>
      <c r="X39" s="18">
        <v>90.5</v>
      </c>
      <c r="Y39" s="18">
        <v>154.1</v>
      </c>
      <c r="Z39" s="22">
        <f>SUM(V39:Y39)</f>
        <v>362.5</v>
      </c>
      <c r="AA39" s="18">
        <v>46.8</v>
      </c>
      <c r="AB39" s="18">
        <v>54.2</v>
      </c>
      <c r="AC39" s="18">
        <v>101</v>
      </c>
      <c r="AD39" s="18">
        <v>126.9</v>
      </c>
      <c r="AE39" s="22">
        <f>SUM(AA39:AD39)</f>
        <v>328.9</v>
      </c>
      <c r="AF39" s="18">
        <v>65.099999999999994</v>
      </c>
      <c r="AG39" s="18">
        <v>81.2</v>
      </c>
      <c r="AH39" s="18">
        <v>94.7</v>
      </c>
      <c r="AI39" s="18">
        <v>208.7</v>
      </c>
      <c r="AJ39" s="22">
        <f>SUM(AF39:AI39)</f>
        <v>449.7</v>
      </c>
      <c r="AK39" s="18">
        <v>24</v>
      </c>
      <c r="AL39" s="18">
        <v>99.2</v>
      </c>
      <c r="AM39" s="18">
        <v>115.6</v>
      </c>
      <c r="AN39" s="18">
        <v>178.1</v>
      </c>
      <c r="AO39" s="22">
        <f>SUM(AK39:AN39)</f>
        <v>416.9</v>
      </c>
      <c r="AP39" s="18">
        <v>-19.7</v>
      </c>
      <c r="AQ39" s="18">
        <v>103.1</v>
      </c>
      <c r="AR39" s="18">
        <v>132.30000000000001</v>
      </c>
      <c r="AS39" s="18">
        <v>166.2</v>
      </c>
      <c r="AT39" s="22">
        <f>SUM(AP39:AS39)</f>
        <v>381.9</v>
      </c>
      <c r="AU39" s="18">
        <v>32.1</v>
      </c>
      <c r="AV39" s="18">
        <v>94.8</v>
      </c>
      <c r="AW39" s="18">
        <v>129.9</v>
      </c>
      <c r="AX39" s="18">
        <v>102.3</v>
      </c>
      <c r="AY39" s="22">
        <f>SUM(AU39:AX39)</f>
        <v>359.1</v>
      </c>
      <c r="AZ39" s="18">
        <v>111.3</v>
      </c>
      <c r="BA39" s="18">
        <v>150.80000000000001</v>
      </c>
      <c r="BB39" s="18">
        <v>123.6</v>
      </c>
      <c r="BC39" s="18">
        <v>166.9</v>
      </c>
      <c r="BD39" s="22">
        <f>SUM(AZ39:BC39)</f>
        <v>552.6</v>
      </c>
      <c r="BE39" s="18">
        <v>57.7</v>
      </c>
      <c r="BF39" s="18">
        <v>98.4</v>
      </c>
      <c r="BG39" s="18">
        <v>105.4</v>
      </c>
      <c r="BH39" s="18">
        <v>182.2</v>
      </c>
      <c r="BI39" s="22">
        <f>SUM(BE39:BH39)</f>
        <v>443.7</v>
      </c>
      <c r="BJ39" s="18">
        <v>44.1</v>
      </c>
      <c r="BK39" s="18">
        <v>80.5</v>
      </c>
      <c r="BL39" s="18">
        <v>126.5</v>
      </c>
      <c r="BM39" s="18">
        <v>189.2</v>
      </c>
      <c r="BN39" s="22">
        <f>SUM(BJ39:BM39)</f>
        <v>440.29999999999995</v>
      </c>
      <c r="BO39" s="18">
        <v>31.4</v>
      </c>
      <c r="BP39" s="18">
        <v>172.3</v>
      </c>
      <c r="BQ39" s="18">
        <v>212.9</v>
      </c>
      <c r="BR39" s="18">
        <v>251.4</v>
      </c>
      <c r="BS39" s="22">
        <f>SUM(BO39:BR39)</f>
        <v>668</v>
      </c>
      <c r="BT39" s="18">
        <v>10.4</v>
      </c>
      <c r="BU39" s="18">
        <v>112.1</v>
      </c>
      <c r="BV39" s="18">
        <v>261.3</v>
      </c>
      <c r="BW39" s="18">
        <v>218.8</v>
      </c>
      <c r="BX39" s="22">
        <f>SUM(BT39:BW39)</f>
        <v>602.6</v>
      </c>
      <c r="BY39" s="18">
        <v>-10.6</v>
      </c>
      <c r="BZ39" s="18">
        <v>40.9</v>
      </c>
      <c r="CA39" s="18">
        <v>50.1</v>
      </c>
      <c r="CB39" s="18">
        <v>190.9</v>
      </c>
      <c r="CC39" s="22">
        <f>SUM(BY39:CB39)</f>
        <v>271.3</v>
      </c>
      <c r="CD39" s="18">
        <v>39</v>
      </c>
      <c r="CE39" s="18">
        <v>89.8</v>
      </c>
      <c r="CF39" s="18">
        <v>65.5</v>
      </c>
      <c r="CG39" s="18">
        <v>247.1</v>
      </c>
      <c r="CH39" s="22">
        <f>SUM(CD39:CG39)</f>
        <v>441.4</v>
      </c>
      <c r="CI39" s="18">
        <v>96.7</v>
      </c>
      <c r="CJ39" s="18">
        <v>110.6</v>
      </c>
      <c r="CK39" s="18">
        <v>143.80000000000001</v>
      </c>
      <c r="CL39" s="18">
        <v>146.1</v>
      </c>
      <c r="CM39" s="22">
        <f>SUM(CI39:CL39)</f>
        <v>497.20000000000005</v>
      </c>
      <c r="CN39" s="18">
        <v>-6.1</v>
      </c>
      <c r="CO39" s="18">
        <v>94</v>
      </c>
      <c r="CP39" s="18">
        <v>95.5</v>
      </c>
      <c r="CQ39" s="18">
        <v>122.3</v>
      </c>
      <c r="CR39" s="22">
        <f>SUM(CN39:CQ39)</f>
        <v>305.7</v>
      </c>
      <c r="CS39" s="18">
        <v>6.8</v>
      </c>
      <c r="CT39" s="18">
        <v>84</v>
      </c>
      <c r="CU39" s="18">
        <v>125.9</v>
      </c>
      <c r="CV39" s="18">
        <v>121.5</v>
      </c>
      <c r="CW39" s="22">
        <f>SUM(CS39:CV39)</f>
        <v>338.2</v>
      </c>
    </row>
    <row r="40" spans="1:101" x14ac:dyDescent="0.2">
      <c r="A40" s="1" t="s">
        <v>116</v>
      </c>
      <c r="B40" s="17">
        <v>33.9</v>
      </c>
      <c r="C40" s="17">
        <v>45.9</v>
      </c>
      <c r="D40" s="17">
        <v>45.9</v>
      </c>
      <c r="E40" s="17">
        <v>40.5</v>
      </c>
      <c r="F40" s="20">
        <f>SUM(B40:E40)</f>
        <v>166.2</v>
      </c>
      <c r="G40" s="17">
        <v>44.2</v>
      </c>
      <c r="H40" s="17">
        <v>26.9</v>
      </c>
      <c r="I40" s="17">
        <v>37.4</v>
      </c>
      <c r="J40" s="17">
        <v>40.299999999999997</v>
      </c>
      <c r="K40" s="20">
        <f>SUM(G40:J40)</f>
        <v>148.80000000000001</v>
      </c>
      <c r="L40" s="17">
        <v>33.200000000000003</v>
      </c>
      <c r="M40" s="17">
        <v>31.6</v>
      </c>
      <c r="N40" s="17">
        <v>26</v>
      </c>
      <c r="O40" s="17">
        <v>27.5</v>
      </c>
      <c r="P40" s="20">
        <f>SUM(L40:O40)</f>
        <v>118.30000000000001</v>
      </c>
      <c r="Q40" s="17">
        <v>21.7</v>
      </c>
      <c r="R40" s="17">
        <v>29.8</v>
      </c>
      <c r="S40" s="17">
        <v>13.9</v>
      </c>
      <c r="T40" s="17">
        <v>17.600000000000001</v>
      </c>
      <c r="U40" s="20">
        <f>SUM(Q40:T40)</f>
        <v>83</v>
      </c>
      <c r="V40" s="17">
        <v>13.5</v>
      </c>
      <c r="W40" s="17">
        <v>16.5</v>
      </c>
      <c r="X40" s="17">
        <v>18.600000000000001</v>
      </c>
      <c r="Y40" s="17">
        <v>19.100000000000001</v>
      </c>
      <c r="Z40" s="20">
        <f>SUM(V40:Y40)</f>
        <v>67.7</v>
      </c>
      <c r="AA40" s="17">
        <v>16.7</v>
      </c>
      <c r="AB40" s="17">
        <v>21.1</v>
      </c>
      <c r="AC40" s="17">
        <v>18.899999999999999</v>
      </c>
      <c r="AD40" s="17">
        <v>18.3</v>
      </c>
      <c r="AE40" s="20">
        <f>SUM(AA40:AD40)</f>
        <v>75</v>
      </c>
      <c r="AF40" s="17">
        <v>17.600000000000001</v>
      </c>
      <c r="AG40" s="17">
        <v>19.7</v>
      </c>
      <c r="AH40" s="17">
        <v>16.2</v>
      </c>
      <c r="AI40" s="17">
        <v>17.5</v>
      </c>
      <c r="AJ40" s="20">
        <f>SUM(AF40:AI40)</f>
        <v>71</v>
      </c>
      <c r="AK40" s="17">
        <v>19.8</v>
      </c>
      <c r="AL40" s="17">
        <v>22.1</v>
      </c>
      <c r="AM40" s="17">
        <v>18.100000000000001</v>
      </c>
      <c r="AN40" s="17">
        <v>20.6</v>
      </c>
      <c r="AO40" s="20">
        <f>SUM(AK40:AN40)</f>
        <v>80.600000000000009</v>
      </c>
      <c r="AP40" s="17">
        <v>15.1</v>
      </c>
      <c r="AQ40" s="17">
        <v>23.3</v>
      </c>
      <c r="AR40" s="17">
        <v>24.6</v>
      </c>
      <c r="AS40" s="17">
        <v>31.1</v>
      </c>
      <c r="AT40" s="20">
        <f>SUM(AP40:AS40)</f>
        <v>94.1</v>
      </c>
      <c r="AU40" s="17">
        <v>21.7</v>
      </c>
      <c r="AV40" s="17">
        <v>29.6</v>
      </c>
      <c r="AW40" s="17">
        <v>27.2</v>
      </c>
      <c r="AX40" s="17">
        <v>24.7</v>
      </c>
      <c r="AY40" s="20">
        <f>SUM(AU40:AX40)</f>
        <v>103.2</v>
      </c>
      <c r="AZ40" s="17">
        <v>27.7</v>
      </c>
      <c r="BA40" s="17">
        <v>30.2</v>
      </c>
      <c r="BB40" s="17">
        <v>25.2</v>
      </c>
      <c r="BC40" s="17">
        <v>40.9</v>
      </c>
      <c r="BD40" s="20">
        <f>SUM(AZ40:BC40)</f>
        <v>124</v>
      </c>
      <c r="BE40" s="17">
        <v>34.299999999999997</v>
      </c>
      <c r="BF40" s="17">
        <v>44.8</v>
      </c>
      <c r="BG40" s="17">
        <v>39.9</v>
      </c>
      <c r="BH40" s="17">
        <v>40.4</v>
      </c>
      <c r="BI40" s="20">
        <f>SUM(BE40:BH40)</f>
        <v>159.4</v>
      </c>
      <c r="BJ40" s="17">
        <v>40.299999999999997</v>
      </c>
      <c r="BK40" s="17">
        <v>40.9</v>
      </c>
      <c r="BL40" s="17">
        <v>41.4</v>
      </c>
      <c r="BM40" s="17">
        <v>37</v>
      </c>
      <c r="BN40" s="20">
        <f>SUM(BJ40:BM40)</f>
        <v>159.6</v>
      </c>
      <c r="BO40" s="17">
        <v>31.8</v>
      </c>
      <c r="BP40" s="17">
        <v>38.700000000000003</v>
      </c>
      <c r="BQ40" s="17">
        <v>32.5</v>
      </c>
      <c r="BR40" s="17">
        <v>40.1</v>
      </c>
      <c r="BS40" s="20">
        <f>SUM(BO40:BR40)</f>
        <v>143.1</v>
      </c>
      <c r="BT40" s="17">
        <v>24.2</v>
      </c>
      <c r="BU40" s="17">
        <v>18.8</v>
      </c>
      <c r="BV40" s="17">
        <v>9.3000000000000007</v>
      </c>
      <c r="BW40" s="17">
        <v>13.9</v>
      </c>
      <c r="BX40" s="20">
        <f>SUM(BT40:BW40)</f>
        <v>66.2</v>
      </c>
      <c r="BY40" s="17">
        <v>24</v>
      </c>
      <c r="BZ40" s="17">
        <v>25</v>
      </c>
      <c r="CA40" s="17">
        <v>26.8</v>
      </c>
      <c r="CB40" s="17">
        <v>30.8</v>
      </c>
      <c r="CC40" s="20">
        <f>SUM(BY40:CB40)</f>
        <v>106.6</v>
      </c>
      <c r="CD40" s="17">
        <v>18.7</v>
      </c>
      <c r="CE40" s="17">
        <v>22.1</v>
      </c>
      <c r="CF40" s="17">
        <v>24.7</v>
      </c>
      <c r="CG40" s="17">
        <v>34.799999999999997</v>
      </c>
      <c r="CH40" s="20">
        <f>SUM(CD40:CG40)</f>
        <v>100.3</v>
      </c>
      <c r="CI40" s="17">
        <v>37.700000000000003</v>
      </c>
      <c r="CJ40" s="17">
        <v>30.5</v>
      </c>
      <c r="CK40" s="17">
        <v>22.2</v>
      </c>
      <c r="CL40" s="17">
        <v>23.4</v>
      </c>
      <c r="CM40" s="20">
        <f>SUM(CI40:CL40)</f>
        <v>113.80000000000001</v>
      </c>
      <c r="CN40" s="17">
        <v>25.9</v>
      </c>
      <c r="CO40" s="17">
        <v>15.5</v>
      </c>
      <c r="CP40" s="17">
        <v>18.399999999999999</v>
      </c>
      <c r="CQ40" s="17">
        <v>21.8</v>
      </c>
      <c r="CR40" s="20">
        <f>SUM(CN40:CQ40)</f>
        <v>81.599999999999994</v>
      </c>
      <c r="CS40" s="17">
        <v>13.3</v>
      </c>
      <c r="CT40" s="17">
        <v>8.5</v>
      </c>
      <c r="CU40" s="17">
        <v>15.8</v>
      </c>
      <c r="CV40" s="17">
        <v>19.600000000000001</v>
      </c>
      <c r="CW40" s="20">
        <f>SUM(CS40:CV40)</f>
        <v>57.2</v>
      </c>
    </row>
    <row r="41" spans="1:101" x14ac:dyDescent="0.2">
      <c r="A41" s="1" t="s">
        <v>117</v>
      </c>
      <c r="B41" s="17">
        <v>5.6</v>
      </c>
      <c r="C41" s="17">
        <v>59.1</v>
      </c>
      <c r="D41" s="17">
        <v>3.6</v>
      </c>
      <c r="E41" s="17">
        <v>14.8</v>
      </c>
      <c r="F41" s="20">
        <f>SUM(B41:E41)</f>
        <v>83.1</v>
      </c>
      <c r="G41" s="17">
        <v>82.6</v>
      </c>
      <c r="H41" s="17">
        <v>1.1000000000000001</v>
      </c>
      <c r="I41" s="17">
        <v>2</v>
      </c>
      <c r="J41" s="17">
        <v>25.6</v>
      </c>
      <c r="K41" s="20">
        <f>SUM(G41:J41)</f>
        <v>111.29999999999998</v>
      </c>
      <c r="L41" s="17">
        <v>0.6</v>
      </c>
      <c r="M41" s="17">
        <v>0.5</v>
      </c>
      <c r="N41" s="17">
        <v>8.1999999999999993</v>
      </c>
      <c r="O41" s="17">
        <v>1</v>
      </c>
      <c r="P41" s="20">
        <f>SUM(L41:O41)</f>
        <v>10.299999999999999</v>
      </c>
      <c r="Q41" s="17">
        <v>0.3</v>
      </c>
      <c r="R41" s="17">
        <v>0</v>
      </c>
      <c r="S41" s="17">
        <v>2.5</v>
      </c>
      <c r="T41" s="17">
        <v>0</v>
      </c>
      <c r="U41" s="20">
        <f>SUM(Q41:T41)</f>
        <v>2.8</v>
      </c>
      <c r="V41" s="17">
        <v>0.4</v>
      </c>
      <c r="W41" s="17">
        <v>0</v>
      </c>
      <c r="X41" s="17">
        <v>0</v>
      </c>
      <c r="Y41" s="17">
        <v>4.5</v>
      </c>
      <c r="Z41" s="20">
        <f>SUM(V41:Y41)</f>
        <v>4.9000000000000004</v>
      </c>
      <c r="AA41" s="17">
        <v>0.6</v>
      </c>
      <c r="AB41" s="17">
        <v>4.0999999999999996</v>
      </c>
      <c r="AC41" s="17">
        <v>1.9</v>
      </c>
      <c r="AD41" s="17">
        <v>0</v>
      </c>
      <c r="AE41" s="20">
        <f>SUM(AA41:AD41)</f>
        <v>6.6</v>
      </c>
      <c r="AF41" s="17">
        <v>188.8</v>
      </c>
      <c r="AG41" s="17">
        <v>1</v>
      </c>
      <c r="AH41" s="17">
        <v>0.5</v>
      </c>
      <c r="AI41" s="17">
        <v>21.3</v>
      </c>
      <c r="AJ41" s="20">
        <f>SUM(AF41:AI41)</f>
        <v>211.60000000000002</v>
      </c>
      <c r="AK41" s="17">
        <v>0.1</v>
      </c>
      <c r="AL41" s="17">
        <v>10</v>
      </c>
      <c r="AM41" s="17">
        <v>16.399999999999999</v>
      </c>
      <c r="AN41" s="17">
        <v>1.4</v>
      </c>
      <c r="AO41" s="20">
        <f>SUM(AK41:AN41)</f>
        <v>27.9</v>
      </c>
      <c r="AP41" s="17">
        <v>2</v>
      </c>
      <c r="AQ41" s="17">
        <v>49.2</v>
      </c>
      <c r="AR41" s="17">
        <v>19</v>
      </c>
      <c r="AS41" s="17">
        <v>0.2</v>
      </c>
      <c r="AT41" s="20">
        <f>SUM(AP41:AS41)</f>
        <v>70.400000000000006</v>
      </c>
      <c r="AU41" s="17">
        <v>12.2</v>
      </c>
      <c r="AV41" s="17">
        <v>-1</v>
      </c>
      <c r="AW41" s="17">
        <v>0</v>
      </c>
      <c r="AX41" s="17">
        <v>0</v>
      </c>
      <c r="AY41" s="20">
        <f>SUM(AU41:AX41)</f>
        <v>11.2</v>
      </c>
      <c r="AZ41" s="17">
        <v>16.399999999999999</v>
      </c>
      <c r="BA41" s="17">
        <v>0.5</v>
      </c>
      <c r="BB41" s="17">
        <v>11.1</v>
      </c>
      <c r="BC41" s="17">
        <v>1.5</v>
      </c>
      <c r="BD41" s="20">
        <f>SUM(AZ41:BC41)</f>
        <v>29.5</v>
      </c>
      <c r="BE41" s="17">
        <v>37.9</v>
      </c>
      <c r="BF41" s="17">
        <v>0.9</v>
      </c>
      <c r="BG41" s="17">
        <v>0.2</v>
      </c>
      <c r="BH41" s="17">
        <v>0.1</v>
      </c>
      <c r="BI41" s="20">
        <f>SUM(BE41:BH41)</f>
        <v>39.1</v>
      </c>
      <c r="BJ41" s="17">
        <v>85.8</v>
      </c>
      <c r="BK41" s="17">
        <v>4.4000000000000004</v>
      </c>
      <c r="BL41" s="17">
        <v>17.7</v>
      </c>
      <c r="BM41" s="17">
        <v>1.3</v>
      </c>
      <c r="BN41" s="20">
        <f>SUM(BJ41:BM41)</f>
        <v>109.2</v>
      </c>
      <c r="BO41" s="17">
        <v>1244.3</v>
      </c>
      <c r="BP41" s="17">
        <v>0</v>
      </c>
      <c r="BQ41" s="17">
        <v>0</v>
      </c>
      <c r="BR41" s="17">
        <v>20.8</v>
      </c>
      <c r="BS41" s="20">
        <f>SUM(BO41:BR41)</f>
        <v>1265.0999999999999</v>
      </c>
      <c r="BT41" s="17">
        <v>0</v>
      </c>
      <c r="BU41" s="17">
        <v>0</v>
      </c>
      <c r="BV41" s="17">
        <v>0</v>
      </c>
      <c r="BW41" s="17">
        <v>0</v>
      </c>
      <c r="BX41" s="20">
        <f>SUM(BT41:BW41)</f>
        <v>0</v>
      </c>
      <c r="BY41" s="17">
        <v>27.3</v>
      </c>
      <c r="BZ41" s="17">
        <v>124.6</v>
      </c>
      <c r="CA41" s="17">
        <v>0.4</v>
      </c>
      <c r="CB41" s="17">
        <v>0.3</v>
      </c>
      <c r="CC41" s="20">
        <f>SUM(BY41:CB41)</f>
        <v>152.60000000000002</v>
      </c>
      <c r="CD41" s="17">
        <v>0</v>
      </c>
      <c r="CE41" s="17">
        <v>0</v>
      </c>
      <c r="CF41" s="17">
        <v>62.5</v>
      </c>
      <c r="CG41" s="17">
        <v>20.8</v>
      </c>
      <c r="CH41" s="20">
        <f>SUM(CD41:CG41)</f>
        <v>83.3</v>
      </c>
      <c r="CI41" s="17">
        <v>0</v>
      </c>
      <c r="CJ41" s="17">
        <v>0</v>
      </c>
      <c r="CK41" s="17">
        <v>0</v>
      </c>
      <c r="CL41" s="17">
        <v>0</v>
      </c>
      <c r="CM41" s="20">
        <f>SUM(CI41:CL41)</f>
        <v>0</v>
      </c>
      <c r="CN41" s="17">
        <v>0</v>
      </c>
      <c r="CO41" s="17">
        <v>0</v>
      </c>
      <c r="CP41" s="17">
        <v>0</v>
      </c>
      <c r="CQ41" s="17">
        <v>0</v>
      </c>
      <c r="CR41" s="20">
        <f>SUM(CN41:CQ41)</f>
        <v>0</v>
      </c>
      <c r="CS41" s="17">
        <v>0</v>
      </c>
      <c r="CT41" s="17">
        <v>0</v>
      </c>
      <c r="CU41" s="17">
        <v>0</v>
      </c>
      <c r="CV41" s="17">
        <v>0</v>
      </c>
      <c r="CW41" s="20">
        <f>SUM(CS41:CV41)</f>
        <v>0</v>
      </c>
    </row>
    <row r="42" spans="1:101" x14ac:dyDescent="0.2">
      <c r="A42" s="1" t="s">
        <v>118</v>
      </c>
      <c r="B42" s="17">
        <v>29.5</v>
      </c>
      <c r="C42" s="17">
        <v>30</v>
      </c>
      <c r="D42" s="17">
        <v>31.1</v>
      </c>
      <c r="E42" s="17">
        <v>31</v>
      </c>
      <c r="F42" s="20">
        <f>SUM(B42:E42)</f>
        <v>121.6</v>
      </c>
      <c r="G42" s="17">
        <v>30.9</v>
      </c>
      <c r="H42" s="17">
        <v>30.6</v>
      </c>
      <c r="I42" s="17">
        <v>32.200000000000003</v>
      </c>
      <c r="J42" s="17">
        <v>31.2</v>
      </c>
      <c r="K42" s="20">
        <f>SUM(G42:J42)</f>
        <v>124.9</v>
      </c>
      <c r="L42" s="17">
        <v>43.2</v>
      </c>
      <c r="M42" s="17">
        <v>42.5</v>
      </c>
      <c r="N42" s="17">
        <v>42</v>
      </c>
      <c r="O42" s="17">
        <v>37.4</v>
      </c>
      <c r="P42" s="20">
        <f>SUM(L42:O42)</f>
        <v>165.1</v>
      </c>
      <c r="Q42" s="17">
        <v>39.1</v>
      </c>
      <c r="R42" s="17">
        <v>39.200000000000003</v>
      </c>
      <c r="S42" s="17">
        <v>39.200000000000003</v>
      </c>
      <c r="T42" s="17">
        <v>39.700000000000003</v>
      </c>
      <c r="U42" s="20">
        <f>SUM(Q42:T42)</f>
        <v>157.20000000000002</v>
      </c>
      <c r="V42" s="17">
        <v>38.700000000000003</v>
      </c>
      <c r="W42" s="17">
        <v>38.5</v>
      </c>
      <c r="X42" s="17">
        <v>38.200000000000003</v>
      </c>
      <c r="Y42" s="17">
        <v>39.5</v>
      </c>
      <c r="Z42" s="20">
        <f>SUM(V42:Y42)</f>
        <v>154.9</v>
      </c>
      <c r="AA42" s="17">
        <v>39.700000000000003</v>
      </c>
      <c r="AB42" s="17">
        <v>39.1</v>
      </c>
      <c r="AC42" s="17">
        <v>38.200000000000003</v>
      </c>
      <c r="AD42" s="17">
        <v>38.9</v>
      </c>
      <c r="AE42" s="20">
        <f>SUM(AA42:AD42)</f>
        <v>155.9</v>
      </c>
      <c r="AF42" s="17">
        <v>39</v>
      </c>
      <c r="AG42" s="17">
        <v>39.200000000000003</v>
      </c>
      <c r="AH42" s="17">
        <v>39.299999999999997</v>
      </c>
      <c r="AI42" s="17">
        <v>82</v>
      </c>
      <c r="AJ42" s="20">
        <f>SUM(AF42:AI42)</f>
        <v>199.5</v>
      </c>
      <c r="AK42" s="17">
        <v>0</v>
      </c>
      <c r="AL42" s="17">
        <v>41.4</v>
      </c>
      <c r="AM42" s="17">
        <v>41.2</v>
      </c>
      <c r="AN42" s="17">
        <v>42.3</v>
      </c>
      <c r="AO42" s="20">
        <f>SUM(AK42:AN42)</f>
        <v>124.89999999999999</v>
      </c>
      <c r="AP42" s="17">
        <v>42</v>
      </c>
      <c r="AQ42" s="17">
        <v>41.7</v>
      </c>
      <c r="AR42" s="17">
        <v>41.2</v>
      </c>
      <c r="AS42" s="17">
        <v>42.6</v>
      </c>
      <c r="AT42" s="20">
        <f>SUM(AP42:AS42)</f>
        <v>167.5</v>
      </c>
      <c r="AU42" s="17">
        <v>42.7</v>
      </c>
      <c r="AV42" s="17">
        <v>42.8</v>
      </c>
      <c r="AW42" s="17">
        <v>42.5</v>
      </c>
      <c r="AX42" s="17">
        <v>43.6</v>
      </c>
      <c r="AY42" s="20">
        <f>SUM(AU42:AX42)</f>
        <v>171.6</v>
      </c>
      <c r="AZ42" s="17">
        <v>43.5</v>
      </c>
      <c r="BA42" s="17">
        <v>43</v>
      </c>
      <c r="BB42" s="17">
        <v>45.5</v>
      </c>
      <c r="BC42" s="17">
        <v>45.4</v>
      </c>
      <c r="BD42" s="20">
        <f>SUM(AZ42:BC42)</f>
        <v>177.4</v>
      </c>
      <c r="BE42" s="17">
        <v>45.4</v>
      </c>
      <c r="BF42" s="17">
        <v>45</v>
      </c>
      <c r="BG42" s="17">
        <v>47.6</v>
      </c>
      <c r="BH42" s="17">
        <v>47.6</v>
      </c>
      <c r="BI42" s="20">
        <f>SUM(BE42:BH42)</f>
        <v>185.6</v>
      </c>
      <c r="BJ42" s="17">
        <v>47.5</v>
      </c>
      <c r="BK42" s="17">
        <v>47.3</v>
      </c>
      <c r="BL42" s="17">
        <v>49.4</v>
      </c>
      <c r="BM42" s="17">
        <v>49.5</v>
      </c>
      <c r="BN42" s="20">
        <f>SUM(BJ42:BM42)</f>
        <v>193.7</v>
      </c>
      <c r="BO42" s="17">
        <v>49.6</v>
      </c>
      <c r="BP42" s="17">
        <v>49.8</v>
      </c>
      <c r="BQ42" s="17">
        <v>52.6</v>
      </c>
      <c r="BR42" s="17">
        <v>52.6</v>
      </c>
      <c r="BS42" s="20">
        <f>SUM(BO42:BR42)</f>
        <v>204.6</v>
      </c>
      <c r="BT42" s="17">
        <v>52.7</v>
      </c>
      <c r="BU42" s="17">
        <v>52.9</v>
      </c>
      <c r="BV42" s="17">
        <v>52.9</v>
      </c>
      <c r="BW42" s="17">
        <v>53</v>
      </c>
      <c r="BX42" s="20">
        <f>SUM(BT42:BW42)</f>
        <v>211.5</v>
      </c>
      <c r="BY42" s="17">
        <v>53</v>
      </c>
      <c r="BZ42" s="17">
        <v>53.3</v>
      </c>
      <c r="CA42" s="17">
        <v>56</v>
      </c>
      <c r="CB42" s="17">
        <v>56</v>
      </c>
      <c r="CC42" s="20">
        <f>SUM(BY42:CB42)</f>
        <v>218.3</v>
      </c>
      <c r="CD42" s="17">
        <v>56</v>
      </c>
      <c r="CE42" s="17">
        <v>56.1</v>
      </c>
      <c r="CF42" s="17">
        <v>58.7</v>
      </c>
      <c r="CG42" s="17">
        <v>58.4</v>
      </c>
      <c r="CH42" s="20">
        <f>SUM(CD42:CG42)</f>
        <v>229.20000000000002</v>
      </c>
      <c r="CI42" s="17">
        <v>58.3</v>
      </c>
      <c r="CJ42" s="17">
        <v>58.6</v>
      </c>
      <c r="CK42" s="17">
        <v>61.2</v>
      </c>
      <c r="CL42" s="17">
        <v>61.3</v>
      </c>
      <c r="CM42" s="20">
        <f>SUM(CI42:CL42)</f>
        <v>239.40000000000003</v>
      </c>
      <c r="CN42" s="17">
        <v>61.3</v>
      </c>
      <c r="CO42" s="17">
        <v>61.7</v>
      </c>
      <c r="CP42" s="17">
        <v>6.7</v>
      </c>
      <c r="CQ42" s="17">
        <v>6.6</v>
      </c>
      <c r="CR42" s="20">
        <f>SUM(CN42:CQ42)</f>
        <v>136.29999999999998</v>
      </c>
      <c r="CS42" s="17">
        <v>6.7</v>
      </c>
      <c r="CT42" s="17">
        <v>6.8</v>
      </c>
      <c r="CU42" s="17">
        <v>6.7</v>
      </c>
      <c r="CV42" s="17">
        <v>6.8</v>
      </c>
      <c r="CW42" s="20">
        <f>SUM(CS42:CV42)</f>
        <v>27</v>
      </c>
    </row>
    <row r="43" spans="1:101" ht="12.75" thickBot="1" x14ac:dyDescent="0.25">
      <c r="B43" s="17"/>
      <c r="C43" s="17"/>
      <c r="D43" s="17"/>
      <c r="E43" s="17"/>
      <c r="F43" s="20"/>
      <c r="G43" s="17"/>
      <c r="H43" s="17"/>
      <c r="I43" s="17"/>
      <c r="J43" s="17"/>
      <c r="K43" s="20"/>
      <c r="L43" s="17"/>
      <c r="M43" s="17"/>
      <c r="N43" s="17"/>
      <c r="O43" s="17"/>
      <c r="P43" s="20"/>
      <c r="Q43" s="17"/>
      <c r="R43" s="17"/>
      <c r="S43" s="17"/>
      <c r="T43" s="17"/>
      <c r="U43" s="20"/>
      <c r="V43" s="17"/>
      <c r="W43" s="17"/>
      <c r="X43" s="17"/>
      <c r="Y43" s="17"/>
      <c r="Z43" s="20"/>
      <c r="AA43" s="17"/>
      <c r="AB43" s="17"/>
      <c r="AC43" s="17"/>
      <c r="AD43" s="17"/>
      <c r="AE43" s="20"/>
      <c r="AF43" s="17"/>
      <c r="AG43" s="17"/>
      <c r="AH43" s="17"/>
      <c r="AI43" s="17"/>
      <c r="AJ43" s="20"/>
      <c r="AK43" s="17"/>
      <c r="AL43" s="17"/>
      <c r="AM43" s="17"/>
      <c r="AN43" s="17"/>
      <c r="AO43" s="20"/>
      <c r="AP43" s="17"/>
      <c r="AQ43" s="17"/>
      <c r="AR43" s="17"/>
      <c r="AS43" s="17"/>
      <c r="AT43" s="20"/>
      <c r="AU43" s="17"/>
      <c r="AV43" s="17"/>
      <c r="AW43" s="17"/>
      <c r="AX43" s="17"/>
      <c r="AY43" s="20"/>
      <c r="AZ43" s="17"/>
      <c r="BA43" s="17"/>
      <c r="BB43" s="17"/>
      <c r="BC43" s="17"/>
      <c r="BD43" s="20"/>
      <c r="BE43" s="17"/>
      <c r="BF43" s="17"/>
      <c r="BG43" s="17"/>
      <c r="BH43" s="17"/>
      <c r="BI43" s="20"/>
      <c r="BJ43" s="17"/>
      <c r="BK43" s="17"/>
      <c r="BL43" s="17"/>
      <c r="BM43" s="17"/>
      <c r="BN43" s="20"/>
      <c r="BO43" s="17"/>
      <c r="BP43" s="17"/>
      <c r="BQ43" s="17"/>
      <c r="BR43" s="17"/>
      <c r="BS43" s="20"/>
      <c r="BT43" s="17"/>
      <c r="BU43" s="17"/>
      <c r="BV43" s="17"/>
      <c r="BW43" s="17"/>
      <c r="BX43" s="20"/>
      <c r="BY43" s="17"/>
      <c r="BZ43" s="17"/>
      <c r="CA43" s="17"/>
      <c r="CB43" s="17"/>
      <c r="CC43" s="20"/>
      <c r="CD43" s="17"/>
      <c r="CE43" s="17"/>
      <c r="CF43" s="17"/>
      <c r="CG43" s="17"/>
      <c r="CH43" s="20"/>
      <c r="CI43" s="17"/>
      <c r="CJ43" s="17"/>
      <c r="CK43" s="17"/>
      <c r="CL43" s="17"/>
      <c r="CM43" s="20"/>
      <c r="CN43" s="17"/>
      <c r="CO43" s="17"/>
      <c r="CP43" s="17"/>
      <c r="CQ43" s="17"/>
      <c r="CR43" s="20"/>
      <c r="CS43" s="17"/>
      <c r="CT43" s="17"/>
      <c r="CU43" s="17"/>
      <c r="CV43" s="17"/>
      <c r="CW43" s="20"/>
    </row>
    <row r="44" spans="1:101" ht="12.75" thickBot="1" x14ac:dyDescent="0.25">
      <c r="A44" s="25" t="s">
        <v>119</v>
      </c>
      <c r="B44" s="17"/>
      <c r="C44" s="17"/>
      <c r="D44" s="17"/>
      <c r="E44" s="17"/>
      <c r="F44" s="20"/>
      <c r="G44" s="17"/>
      <c r="H44" s="17"/>
      <c r="I44" s="17"/>
      <c r="J44" s="17"/>
      <c r="K44" s="20"/>
      <c r="L44" s="17"/>
      <c r="M44" s="17"/>
      <c r="N44" s="17"/>
      <c r="O44" s="17"/>
      <c r="P44" s="20"/>
      <c r="Q44" s="17"/>
      <c r="R44" s="17"/>
      <c r="S44" s="17"/>
      <c r="T44" s="17"/>
      <c r="U44" s="20"/>
      <c r="V44" s="17"/>
      <c r="W44" s="17"/>
      <c r="X44" s="17"/>
      <c r="Y44" s="17"/>
      <c r="Z44" s="20"/>
      <c r="AA44" s="17"/>
      <c r="AB44" s="17"/>
      <c r="AC44" s="17"/>
      <c r="AD44" s="17"/>
      <c r="AE44" s="20"/>
      <c r="AF44" s="17"/>
      <c r="AG44" s="17"/>
      <c r="AH44" s="17"/>
      <c r="AI44" s="17"/>
      <c r="AJ44" s="20"/>
      <c r="AK44" s="17"/>
      <c r="AL44" s="17"/>
      <c r="AM44" s="17"/>
      <c r="AN44" s="17"/>
      <c r="AO44" s="20"/>
      <c r="AP44" s="17"/>
      <c r="AQ44" s="17"/>
      <c r="AR44" s="17"/>
      <c r="AS44" s="17"/>
      <c r="AT44" s="20"/>
      <c r="AU44" s="17"/>
      <c r="AV44" s="17"/>
      <c r="AW44" s="17"/>
      <c r="AX44" s="17"/>
      <c r="AY44" s="20"/>
      <c r="AZ44" s="17"/>
      <c r="BA44" s="17"/>
      <c r="BB44" s="17"/>
      <c r="BC44" s="17"/>
      <c r="BD44" s="20"/>
      <c r="BE44" s="17"/>
      <c r="BF44" s="17"/>
      <c r="BG44" s="17"/>
      <c r="BH44" s="17"/>
      <c r="BI44" s="20"/>
      <c r="BJ44" s="17"/>
      <c r="BK44" s="17"/>
      <c r="BL44" s="17"/>
      <c r="BM44" s="17"/>
      <c r="BN44" s="20"/>
      <c r="BO44" s="17"/>
      <c r="BP44" s="17"/>
      <c r="BQ44" s="17"/>
      <c r="BR44" s="17"/>
      <c r="BS44" s="20"/>
      <c r="BT44" s="17"/>
      <c r="BU44" s="17"/>
      <c r="BV44" s="17"/>
      <c r="BW44" s="17"/>
      <c r="BX44" s="20"/>
      <c r="BY44" s="17"/>
      <c r="BZ44" s="17"/>
      <c r="CA44" s="17"/>
      <c r="CB44" s="17"/>
      <c r="CC44" s="20"/>
      <c r="CD44" s="17"/>
      <c r="CE44" s="17"/>
      <c r="CF44" s="17"/>
      <c r="CG44" s="17"/>
      <c r="CH44" s="20"/>
      <c r="CI44" s="17"/>
      <c r="CJ44" s="17"/>
      <c r="CK44" s="17"/>
      <c r="CL44" s="17"/>
      <c r="CM44" s="20"/>
      <c r="CN44" s="17"/>
      <c r="CO44" s="17"/>
      <c r="CP44" s="17"/>
      <c r="CQ44" s="17"/>
      <c r="CR44" s="20"/>
      <c r="CS44" s="17"/>
      <c r="CT44" s="17"/>
      <c r="CU44" s="17"/>
      <c r="CV44" s="17"/>
      <c r="CW44" s="20"/>
    </row>
    <row r="45" spans="1:101" x14ac:dyDescent="0.2">
      <c r="A45" s="1" t="s">
        <v>120</v>
      </c>
      <c r="B45" s="17"/>
      <c r="C45" s="17"/>
      <c r="D45" s="17"/>
      <c r="E45" s="17"/>
      <c r="F45" s="20">
        <v>131.9</v>
      </c>
      <c r="G45" s="17"/>
      <c r="H45" s="17"/>
      <c r="I45" s="17"/>
      <c r="J45" s="17"/>
      <c r="K45" s="20">
        <v>205.4</v>
      </c>
      <c r="L45" s="17">
        <v>188.1</v>
      </c>
      <c r="M45" s="17">
        <v>203.1</v>
      </c>
      <c r="N45" s="17">
        <v>211.4</v>
      </c>
      <c r="O45" s="17">
        <v>164.7</v>
      </c>
      <c r="P45" s="20">
        <v>164.7</v>
      </c>
      <c r="Q45" s="17">
        <v>160.19999999999999</v>
      </c>
      <c r="R45" s="17">
        <v>222.2</v>
      </c>
      <c r="S45" s="17">
        <v>221.5</v>
      </c>
      <c r="T45" s="17">
        <v>260.5</v>
      </c>
      <c r="U45" s="20">
        <v>260.5</v>
      </c>
      <c r="V45" s="17">
        <v>247.2</v>
      </c>
      <c r="W45" s="17">
        <v>243.5</v>
      </c>
      <c r="X45" s="17">
        <v>276.7</v>
      </c>
      <c r="Y45" s="17">
        <v>244.5</v>
      </c>
      <c r="Z45" s="20">
        <v>244.5</v>
      </c>
      <c r="AA45" s="17">
        <v>195.4</v>
      </c>
      <c r="AB45" s="17">
        <v>203.3</v>
      </c>
      <c r="AC45" s="17">
        <v>218.8</v>
      </c>
      <c r="AD45" s="17">
        <v>236.3</v>
      </c>
      <c r="AE45" s="20">
        <v>236.3</v>
      </c>
      <c r="AF45" s="17">
        <v>261.2</v>
      </c>
      <c r="AG45" s="17">
        <v>271.2</v>
      </c>
      <c r="AH45" s="17">
        <v>264.89999999999998</v>
      </c>
      <c r="AI45" s="17">
        <v>359.1</v>
      </c>
      <c r="AJ45" s="20">
        <v>359.1</v>
      </c>
      <c r="AK45" s="17">
        <v>449.4</v>
      </c>
      <c r="AL45" s="17">
        <v>280.3</v>
      </c>
      <c r="AM45" s="17">
        <v>298.89999999999998</v>
      </c>
      <c r="AN45" s="17">
        <v>272.7</v>
      </c>
      <c r="AO45" s="20">
        <v>272.7</v>
      </c>
      <c r="AP45" s="17">
        <v>268.60000000000002</v>
      </c>
      <c r="AQ45" s="17">
        <v>304.2</v>
      </c>
      <c r="AR45" s="17">
        <v>242.9</v>
      </c>
      <c r="AS45" s="17">
        <v>332.8</v>
      </c>
      <c r="AT45" s="20">
        <v>332.7</v>
      </c>
      <c r="AU45" s="17"/>
      <c r="AV45" s="17"/>
      <c r="AW45" s="17"/>
      <c r="AX45" s="17"/>
      <c r="AY45" s="20">
        <v>253.2</v>
      </c>
      <c r="AZ45" s="17"/>
      <c r="BA45" s="17"/>
      <c r="BB45" s="17"/>
      <c r="BC45" s="17"/>
      <c r="BD45" s="20">
        <v>281.89999999999998</v>
      </c>
      <c r="BE45" s="17"/>
      <c r="BF45" s="17"/>
      <c r="BG45" s="17"/>
      <c r="BH45" s="17"/>
      <c r="BI45" s="20">
        <v>526.1</v>
      </c>
      <c r="BJ45" s="17"/>
      <c r="BK45" s="17"/>
      <c r="BL45" s="17"/>
      <c r="BM45" s="17"/>
      <c r="BN45" s="20">
        <v>268.10000000000002</v>
      </c>
      <c r="BO45" s="17">
        <v>263.3</v>
      </c>
      <c r="BP45" s="17">
        <v>289.7</v>
      </c>
      <c r="BQ45" s="17">
        <v>242</v>
      </c>
      <c r="BR45" s="17">
        <v>247.6</v>
      </c>
      <c r="BS45" s="20">
        <v>247.6</v>
      </c>
      <c r="BT45" s="17">
        <v>505.8</v>
      </c>
      <c r="BU45" s="17">
        <v>208.8</v>
      </c>
      <c r="BV45" s="17">
        <v>245</v>
      </c>
      <c r="BW45" s="17">
        <v>348.9</v>
      </c>
      <c r="BX45" s="20">
        <v>348.9</v>
      </c>
      <c r="BY45" s="17">
        <v>333.8</v>
      </c>
      <c r="BZ45" s="17">
        <v>231.6</v>
      </c>
      <c r="CA45" s="17">
        <v>234.7</v>
      </c>
      <c r="CB45" s="17">
        <v>361.7</v>
      </c>
      <c r="CC45" s="20">
        <v>361.7</v>
      </c>
      <c r="CD45" s="17">
        <v>327.3</v>
      </c>
      <c r="CE45" s="17">
        <v>269.89999999999998</v>
      </c>
      <c r="CF45" s="17">
        <v>226.2</v>
      </c>
      <c r="CG45" s="17">
        <v>316.5</v>
      </c>
      <c r="CH45" s="20">
        <v>316.5</v>
      </c>
      <c r="CI45" s="17">
        <v>344.5</v>
      </c>
      <c r="CJ45" s="17">
        <v>272.39999999999998</v>
      </c>
      <c r="CK45" s="17">
        <v>273.89999999999998</v>
      </c>
      <c r="CL45" s="17">
        <v>365.5</v>
      </c>
      <c r="CM45" s="20">
        <v>365.5</v>
      </c>
      <c r="CN45" s="17">
        <v>361.3</v>
      </c>
      <c r="CO45" s="17">
        <v>307</v>
      </c>
      <c r="CP45" s="17">
        <v>277.2</v>
      </c>
      <c r="CQ45" s="17">
        <v>350.2</v>
      </c>
      <c r="CR45" s="20">
        <v>350.2</v>
      </c>
      <c r="CS45" s="17">
        <v>412.6</v>
      </c>
      <c r="CT45" s="17">
        <v>368.8</v>
      </c>
      <c r="CU45" s="17">
        <v>460.7</v>
      </c>
      <c r="CV45" s="17">
        <v>587.4</v>
      </c>
      <c r="CW45" s="20">
        <v>587.4</v>
      </c>
    </row>
    <row r="46" spans="1:101" x14ac:dyDescent="0.2">
      <c r="A46" s="1" t="s">
        <v>121</v>
      </c>
      <c r="B46" s="17"/>
      <c r="C46" s="17"/>
      <c r="D46" s="17"/>
      <c r="E46" s="17"/>
      <c r="F46" s="20">
        <v>707.4</v>
      </c>
      <c r="G46" s="17"/>
      <c r="H46" s="17"/>
      <c r="I46" s="17"/>
      <c r="J46" s="17"/>
      <c r="K46" s="20">
        <f>640.2-9.8</f>
        <v>630.40000000000009</v>
      </c>
      <c r="L46" s="17">
        <v>666.4</v>
      </c>
      <c r="M46" s="17">
        <v>683.6</v>
      </c>
      <c r="N46" s="17">
        <v>721</v>
      </c>
      <c r="O46" s="17">
        <v>550.5</v>
      </c>
      <c r="P46" s="20">
        <v>550.5</v>
      </c>
      <c r="Q46" s="17">
        <v>493</v>
      </c>
      <c r="R46" s="17">
        <v>492.7</v>
      </c>
      <c r="S46" s="17">
        <v>548.70000000000005</v>
      </c>
      <c r="T46" s="17">
        <v>469.5</v>
      </c>
      <c r="U46" s="20">
        <v>469.5</v>
      </c>
      <c r="V46" s="17">
        <v>523.9</v>
      </c>
      <c r="W46" s="17">
        <v>537.20000000000005</v>
      </c>
      <c r="X46" s="17">
        <v>546.6</v>
      </c>
      <c r="Y46" s="17">
        <v>478.9</v>
      </c>
      <c r="Z46" s="20">
        <v>478.9</v>
      </c>
      <c r="AA46" s="17">
        <v>575.6</v>
      </c>
      <c r="AB46" s="17">
        <v>567.9</v>
      </c>
      <c r="AC46" s="17">
        <v>576.70000000000005</v>
      </c>
      <c r="AD46" s="17">
        <v>503.6</v>
      </c>
      <c r="AE46" s="20">
        <v>503.6</v>
      </c>
      <c r="AF46" s="17">
        <v>571.6</v>
      </c>
      <c r="AG46" s="17">
        <v>557.6</v>
      </c>
      <c r="AH46" s="17">
        <v>589.70000000000005</v>
      </c>
      <c r="AI46" s="17">
        <v>446.2</v>
      </c>
      <c r="AJ46" s="20">
        <v>446.2</v>
      </c>
      <c r="AK46" s="17">
        <v>528.6</v>
      </c>
      <c r="AL46" s="17">
        <v>553</v>
      </c>
      <c r="AM46" s="17">
        <v>574.70000000000005</v>
      </c>
      <c r="AN46" s="17">
        <v>467.4</v>
      </c>
      <c r="AO46" s="20">
        <v>467.4</v>
      </c>
      <c r="AP46" s="17">
        <v>573.9</v>
      </c>
      <c r="AQ46" s="17">
        <v>603.4</v>
      </c>
      <c r="AR46" s="17">
        <v>584.4</v>
      </c>
      <c r="AS46" s="17">
        <v>523.29999999999995</v>
      </c>
      <c r="AT46" s="20">
        <v>523.29999999999995</v>
      </c>
      <c r="AU46" s="17"/>
      <c r="AV46" s="17"/>
      <c r="AW46" s="17"/>
      <c r="AX46" s="17"/>
      <c r="AY46" s="20">
        <v>520.20000000000005</v>
      </c>
      <c r="AZ46" s="17"/>
      <c r="BA46" s="17"/>
      <c r="BB46" s="17"/>
      <c r="BC46" s="17"/>
      <c r="BD46" s="20">
        <v>486.6</v>
      </c>
      <c r="BE46" s="17"/>
      <c r="BF46" s="17"/>
      <c r="BG46" s="17"/>
      <c r="BH46" s="17"/>
      <c r="BI46" s="20">
        <v>595.1</v>
      </c>
      <c r="BJ46" s="17"/>
      <c r="BK46" s="17"/>
      <c r="BL46" s="17"/>
      <c r="BM46" s="17"/>
      <c r="BN46" s="20">
        <v>571.6</v>
      </c>
      <c r="BO46" s="17">
        <v>665.3</v>
      </c>
      <c r="BP46" s="17">
        <v>700.3</v>
      </c>
      <c r="BQ46" s="17">
        <v>677.3</v>
      </c>
      <c r="BR46" s="17">
        <v>591.9</v>
      </c>
      <c r="BS46" s="20">
        <v>591.9</v>
      </c>
      <c r="BT46" s="17">
        <v>568.20000000000005</v>
      </c>
      <c r="BU46" s="17">
        <v>577.29999999999995</v>
      </c>
      <c r="BV46" s="17">
        <v>642.29999999999995</v>
      </c>
      <c r="BW46" s="17">
        <v>563.6</v>
      </c>
      <c r="BX46" s="20">
        <v>563.6</v>
      </c>
      <c r="BY46" s="17">
        <v>602.9</v>
      </c>
      <c r="BZ46" s="17">
        <v>704.8</v>
      </c>
      <c r="CA46" s="17">
        <v>699.1</v>
      </c>
      <c r="CB46" s="17">
        <v>651.5</v>
      </c>
      <c r="CC46" s="20">
        <v>651.5</v>
      </c>
      <c r="CD46" s="17">
        <v>704.9</v>
      </c>
      <c r="CE46" s="17">
        <v>722.6</v>
      </c>
      <c r="CF46" s="17">
        <v>730.3</v>
      </c>
      <c r="CG46" s="17">
        <v>675</v>
      </c>
      <c r="CH46" s="20">
        <v>675</v>
      </c>
      <c r="CI46" s="17">
        <v>718.2</v>
      </c>
      <c r="CJ46" s="17">
        <v>702.7</v>
      </c>
      <c r="CK46" s="17">
        <v>711.3</v>
      </c>
      <c r="CL46" s="17">
        <v>637.29999999999995</v>
      </c>
      <c r="CM46" s="20">
        <v>637.29999999999995</v>
      </c>
      <c r="CN46" s="17">
        <v>635.1</v>
      </c>
      <c r="CO46" s="17">
        <v>648.70000000000005</v>
      </c>
      <c r="CP46" s="17">
        <v>638.1</v>
      </c>
      <c r="CQ46" s="17">
        <v>559.4</v>
      </c>
      <c r="CR46" s="20">
        <v>559.4</v>
      </c>
      <c r="CS46" s="17">
        <v>558.1</v>
      </c>
      <c r="CT46" s="17">
        <v>577.20000000000005</v>
      </c>
      <c r="CU46" s="17">
        <v>568.4</v>
      </c>
      <c r="CV46" s="17">
        <v>475.9</v>
      </c>
      <c r="CW46" s="20">
        <v>475.9</v>
      </c>
    </row>
    <row r="47" spans="1:101" x14ac:dyDescent="0.2">
      <c r="A47" s="1" t="s">
        <v>122</v>
      </c>
      <c r="B47" s="17"/>
      <c r="C47" s="17"/>
      <c r="D47" s="17"/>
      <c r="E47" s="17"/>
      <c r="F47" s="20">
        <v>647.29999999999995</v>
      </c>
      <c r="G47" s="17"/>
      <c r="H47" s="17"/>
      <c r="I47" s="17"/>
      <c r="J47" s="17"/>
      <c r="K47" s="20">
        <f>599.2-8.2</f>
        <v>591</v>
      </c>
      <c r="L47" s="17">
        <v>599.20000000000005</v>
      </c>
      <c r="M47" s="17">
        <v>669.2</v>
      </c>
      <c r="N47" s="17">
        <v>644.79999999999995</v>
      </c>
      <c r="O47" s="17">
        <v>495</v>
      </c>
      <c r="P47" s="20">
        <v>495</v>
      </c>
      <c r="Q47" s="17">
        <v>452.7</v>
      </c>
      <c r="R47" s="17">
        <v>411.1</v>
      </c>
      <c r="S47" s="17">
        <v>397.4</v>
      </c>
      <c r="T47" s="17">
        <v>409.1</v>
      </c>
      <c r="U47" s="20">
        <v>409.1</v>
      </c>
      <c r="V47" s="17">
        <v>438.6</v>
      </c>
      <c r="W47" s="17">
        <v>451.5</v>
      </c>
      <c r="X47" s="17">
        <v>448.9</v>
      </c>
      <c r="Y47" s="17">
        <v>435.3</v>
      </c>
      <c r="Z47" s="20">
        <v>435.3</v>
      </c>
      <c r="AA47" s="17">
        <v>462.2</v>
      </c>
      <c r="AB47" s="17">
        <v>507.1</v>
      </c>
      <c r="AC47" s="17">
        <v>456.5</v>
      </c>
      <c r="AD47" s="17">
        <v>441</v>
      </c>
      <c r="AE47" s="20">
        <v>441</v>
      </c>
      <c r="AF47" s="17">
        <v>473.3</v>
      </c>
      <c r="AG47" s="17">
        <v>517.6</v>
      </c>
      <c r="AH47" s="17">
        <v>471.2</v>
      </c>
      <c r="AI47" s="17">
        <v>489</v>
      </c>
      <c r="AJ47" s="20">
        <v>489</v>
      </c>
      <c r="AK47" s="17">
        <v>502.5</v>
      </c>
      <c r="AL47" s="17">
        <v>510.4</v>
      </c>
      <c r="AM47" s="17">
        <v>488.9</v>
      </c>
      <c r="AN47" s="17">
        <v>495.9</v>
      </c>
      <c r="AO47" s="20">
        <v>495.9</v>
      </c>
      <c r="AP47" s="17">
        <v>519.5</v>
      </c>
      <c r="AQ47" s="17">
        <v>527.1</v>
      </c>
      <c r="AR47" s="17">
        <v>476.5</v>
      </c>
      <c r="AS47" s="17">
        <v>481.6</v>
      </c>
      <c r="AT47" s="20">
        <v>481.6</v>
      </c>
      <c r="AU47" s="17"/>
      <c r="AV47" s="17"/>
      <c r="AW47" s="17"/>
      <c r="AX47" s="17"/>
      <c r="AY47" s="20">
        <v>518.70000000000005</v>
      </c>
      <c r="AZ47" s="17"/>
      <c r="BA47" s="17"/>
      <c r="BB47" s="17"/>
      <c r="BC47" s="17"/>
      <c r="BD47" s="20">
        <v>547.4</v>
      </c>
      <c r="BE47" s="17"/>
      <c r="BF47" s="17"/>
      <c r="BG47" s="17"/>
      <c r="BH47" s="17"/>
      <c r="BI47" s="20">
        <v>613.29999999999995</v>
      </c>
      <c r="BJ47" s="17"/>
      <c r="BK47" s="17"/>
      <c r="BL47" s="17"/>
      <c r="BM47" s="17"/>
      <c r="BN47" s="20">
        <v>699.5</v>
      </c>
      <c r="BO47" s="17">
        <v>743.5</v>
      </c>
      <c r="BP47" s="17">
        <v>714</v>
      </c>
      <c r="BQ47" s="17">
        <v>687.1</v>
      </c>
      <c r="BR47" s="17">
        <v>675.7</v>
      </c>
      <c r="BS47" s="20">
        <v>675.7</v>
      </c>
      <c r="BT47" s="17">
        <v>692.3</v>
      </c>
      <c r="BU47" s="17">
        <v>610.9</v>
      </c>
      <c r="BV47" s="17">
        <v>625</v>
      </c>
      <c r="BW47" s="17">
        <v>691.5</v>
      </c>
      <c r="BX47" s="20">
        <v>691.5</v>
      </c>
      <c r="BY47" s="17">
        <v>801.8</v>
      </c>
      <c r="BZ47" s="17">
        <v>893</v>
      </c>
      <c r="CA47" s="17">
        <v>970.2</v>
      </c>
      <c r="CB47" s="17">
        <v>993.2</v>
      </c>
      <c r="CC47" s="20">
        <v>993.2</v>
      </c>
      <c r="CD47" s="17">
        <v>1045.8</v>
      </c>
      <c r="CE47" s="17">
        <v>1026.9000000000001</v>
      </c>
      <c r="CF47" s="17">
        <v>976</v>
      </c>
      <c r="CG47" s="17">
        <v>907.5</v>
      </c>
      <c r="CH47" s="20">
        <v>907.5</v>
      </c>
      <c r="CI47" s="17">
        <v>892.7</v>
      </c>
      <c r="CJ47" s="17">
        <v>857.8</v>
      </c>
      <c r="CK47" s="17">
        <v>834.9</v>
      </c>
      <c r="CL47" s="17">
        <v>819.7</v>
      </c>
      <c r="CM47" s="20">
        <v>819.7</v>
      </c>
      <c r="CN47" s="17">
        <v>807.4</v>
      </c>
      <c r="CO47" s="17">
        <v>755.4</v>
      </c>
      <c r="CP47" s="17">
        <v>754.4</v>
      </c>
      <c r="CQ47" s="17">
        <v>722.6</v>
      </c>
      <c r="CR47" s="20">
        <v>722.6</v>
      </c>
      <c r="CS47" s="17">
        <v>678.3</v>
      </c>
      <c r="CT47" s="17">
        <v>648.6</v>
      </c>
      <c r="CU47" s="17">
        <v>634</v>
      </c>
      <c r="CV47" s="17">
        <v>622.6</v>
      </c>
      <c r="CW47" s="20">
        <v>622.6</v>
      </c>
    </row>
    <row r="48" spans="1:101" x14ac:dyDescent="0.2">
      <c r="A48" s="1" t="s">
        <v>123</v>
      </c>
      <c r="B48" s="26"/>
      <c r="C48" s="26"/>
      <c r="D48" s="26"/>
      <c r="E48" s="26"/>
      <c r="F48" s="21">
        <f>82.1-13.8</f>
        <v>68.3</v>
      </c>
      <c r="G48" s="26"/>
      <c r="H48" s="26"/>
      <c r="I48" s="26"/>
      <c r="J48" s="26"/>
      <c r="K48" s="21">
        <f>104.6-0.017</f>
        <v>104.583</v>
      </c>
      <c r="L48" s="26">
        <v>96.4</v>
      </c>
      <c r="M48" s="26">
        <v>100.9</v>
      </c>
      <c r="N48" s="26">
        <v>74.3</v>
      </c>
      <c r="O48" s="26">
        <v>65.599999999999994</v>
      </c>
      <c r="P48" s="21">
        <v>65.599999999999994</v>
      </c>
      <c r="Q48" s="26">
        <v>69.599999999999994</v>
      </c>
      <c r="R48" s="26">
        <v>68.900000000000006</v>
      </c>
      <c r="S48" s="26">
        <v>64.8</v>
      </c>
      <c r="T48" s="26">
        <v>58.1</v>
      </c>
      <c r="U48" s="21">
        <v>58.1</v>
      </c>
      <c r="V48" s="26">
        <v>53</v>
      </c>
      <c r="W48" s="26">
        <v>56.1</v>
      </c>
      <c r="X48" s="26">
        <v>36.200000000000003</v>
      </c>
      <c r="Y48" s="26">
        <v>60.4</v>
      </c>
      <c r="Z48" s="21">
        <v>60.4</v>
      </c>
      <c r="AA48" s="26">
        <v>57.2</v>
      </c>
      <c r="AB48" s="26">
        <v>39.6</v>
      </c>
      <c r="AC48" s="26">
        <v>39.299999999999997</v>
      </c>
      <c r="AD48" s="26">
        <v>43.1</v>
      </c>
      <c r="AE48" s="21">
        <v>43.1</v>
      </c>
      <c r="AF48" s="26">
        <v>44.1</v>
      </c>
      <c r="AG48" s="26">
        <v>53.7</v>
      </c>
      <c r="AH48" s="26">
        <v>52.9</v>
      </c>
      <c r="AI48" s="26">
        <v>44.8</v>
      </c>
      <c r="AJ48" s="21">
        <v>44.8</v>
      </c>
      <c r="AK48" s="26">
        <v>44.2</v>
      </c>
      <c r="AL48" s="26">
        <v>43.5</v>
      </c>
      <c r="AM48" s="26">
        <v>45.4</v>
      </c>
      <c r="AN48" s="26">
        <v>45.7</v>
      </c>
      <c r="AO48" s="21">
        <v>45.7</v>
      </c>
      <c r="AP48" s="26">
        <v>47.8</v>
      </c>
      <c r="AQ48" s="26">
        <v>54.8</v>
      </c>
      <c r="AR48" s="26">
        <f>66.6+64.6</f>
        <v>131.19999999999999</v>
      </c>
      <c r="AS48" s="26">
        <f>10.4+81.5</f>
        <v>91.9</v>
      </c>
      <c r="AT48" s="21">
        <f>10.4+81.5</f>
        <v>91.9</v>
      </c>
      <c r="AU48" s="26"/>
      <c r="AV48" s="26"/>
      <c r="AW48" s="26"/>
      <c r="AX48" s="26"/>
      <c r="AY48" s="21">
        <v>33.200000000000003</v>
      </c>
      <c r="AZ48" s="26"/>
      <c r="BA48" s="26"/>
      <c r="BB48" s="26"/>
      <c r="BC48" s="26"/>
      <c r="BD48" s="21">
        <v>36.799999999999997</v>
      </c>
      <c r="BE48" s="26"/>
      <c r="BF48" s="26"/>
      <c r="BG48" s="26"/>
      <c r="BH48" s="26"/>
      <c r="BI48" s="21">
        <v>74.2</v>
      </c>
      <c r="BJ48" s="26"/>
      <c r="BK48" s="26"/>
      <c r="BL48" s="26"/>
      <c r="BM48" s="26"/>
      <c r="BN48" s="21">
        <v>51</v>
      </c>
      <c r="BO48" s="26">
        <v>53.6</v>
      </c>
      <c r="BP48" s="26">
        <v>56.3</v>
      </c>
      <c r="BQ48" s="26">
        <v>49.5</v>
      </c>
      <c r="BR48" s="26">
        <v>61.9</v>
      </c>
      <c r="BS48" s="21">
        <v>61.9</v>
      </c>
      <c r="BT48" s="26">
        <v>52.5</v>
      </c>
      <c r="BU48" s="26">
        <v>50.1</v>
      </c>
      <c r="BV48" s="26">
        <v>45.7</v>
      </c>
      <c r="BW48" s="26">
        <v>54.1</v>
      </c>
      <c r="BX48" s="21">
        <v>54.1</v>
      </c>
      <c r="BY48" s="26">
        <v>50.5</v>
      </c>
      <c r="BZ48" s="26">
        <v>65.400000000000006</v>
      </c>
      <c r="CA48" s="26">
        <v>79.599999999999994</v>
      </c>
      <c r="CB48" s="26">
        <v>58.9</v>
      </c>
      <c r="CC48" s="21">
        <v>58.9</v>
      </c>
      <c r="CD48" s="26">
        <v>60</v>
      </c>
      <c r="CE48" s="26">
        <v>72.400000000000006</v>
      </c>
      <c r="CF48" s="26">
        <v>68.5</v>
      </c>
      <c r="CG48" s="26">
        <v>59</v>
      </c>
      <c r="CH48" s="21">
        <v>59</v>
      </c>
      <c r="CI48" s="26">
        <v>59.4</v>
      </c>
      <c r="CJ48" s="26">
        <v>72.900000000000006</v>
      </c>
      <c r="CK48" s="26">
        <v>66.099999999999994</v>
      </c>
      <c r="CL48" s="26">
        <v>58.9</v>
      </c>
      <c r="CM48" s="21">
        <v>58.9</v>
      </c>
      <c r="CN48" s="26">
        <v>56.5</v>
      </c>
      <c r="CO48" s="26">
        <v>77.5</v>
      </c>
      <c r="CP48" s="26">
        <v>64.8</v>
      </c>
      <c r="CQ48" s="26">
        <v>58.3</v>
      </c>
      <c r="CR48" s="21">
        <v>58.3</v>
      </c>
      <c r="CS48" s="26">
        <v>135.1</v>
      </c>
      <c r="CT48" s="26">
        <v>148.1</v>
      </c>
      <c r="CU48" s="26">
        <v>45.7</v>
      </c>
      <c r="CV48" s="26">
        <v>57.7</v>
      </c>
      <c r="CW48" s="21">
        <v>57.7</v>
      </c>
    </row>
    <row r="49" spans="1:101" x14ac:dyDescent="0.2">
      <c r="A49" s="6" t="s">
        <v>124</v>
      </c>
      <c r="B49" s="17"/>
      <c r="C49" s="17"/>
      <c r="D49" s="17"/>
      <c r="E49" s="17"/>
      <c r="F49" s="20">
        <f>SUM(F45:F48)</f>
        <v>1554.8999999999999</v>
      </c>
      <c r="G49" s="17"/>
      <c r="H49" s="17"/>
      <c r="I49" s="17"/>
      <c r="J49" s="17"/>
      <c r="K49" s="20">
        <f t="shared" ref="K49:Q49" si="167">SUM(K45:K48)</f>
        <v>1531.3830000000003</v>
      </c>
      <c r="L49" s="17">
        <f t="shared" si="167"/>
        <v>1550.1000000000001</v>
      </c>
      <c r="M49" s="17">
        <f t="shared" si="167"/>
        <v>1656.8000000000002</v>
      </c>
      <c r="N49" s="17">
        <f t="shared" si="167"/>
        <v>1651.4999999999998</v>
      </c>
      <c r="O49" s="17">
        <f t="shared" si="167"/>
        <v>1275.8</v>
      </c>
      <c r="P49" s="20">
        <f t="shared" si="167"/>
        <v>1275.8</v>
      </c>
      <c r="Q49" s="17">
        <f t="shared" si="167"/>
        <v>1175.5</v>
      </c>
      <c r="R49" s="17">
        <f t="shared" ref="R49:Z49" si="168">SUM(R45:R48)</f>
        <v>1194.9000000000001</v>
      </c>
      <c r="S49" s="17">
        <f t="shared" si="168"/>
        <v>1232.3999999999999</v>
      </c>
      <c r="T49" s="17">
        <f t="shared" si="168"/>
        <v>1197.1999999999998</v>
      </c>
      <c r="U49" s="20">
        <f t="shared" si="168"/>
        <v>1197.1999999999998</v>
      </c>
      <c r="V49" s="17">
        <f t="shared" si="168"/>
        <v>1262.6999999999998</v>
      </c>
      <c r="W49" s="17">
        <f t="shared" si="168"/>
        <v>1288.3</v>
      </c>
      <c r="X49" s="17">
        <f t="shared" si="168"/>
        <v>1308.3999999999999</v>
      </c>
      <c r="Y49" s="17">
        <f t="shared" si="168"/>
        <v>1219.1000000000001</v>
      </c>
      <c r="Z49" s="20">
        <f t="shared" si="168"/>
        <v>1219.1000000000001</v>
      </c>
      <c r="AA49" s="17">
        <f t="shared" ref="AA49:AE49" si="169">SUM(AA45:AA48)</f>
        <v>1290.4000000000001</v>
      </c>
      <c r="AB49" s="17">
        <f t="shared" si="169"/>
        <v>1317.9</v>
      </c>
      <c r="AC49" s="17">
        <f t="shared" si="169"/>
        <v>1291.3</v>
      </c>
      <c r="AD49" s="17">
        <f t="shared" si="169"/>
        <v>1224</v>
      </c>
      <c r="AE49" s="20">
        <f t="shared" si="169"/>
        <v>1224</v>
      </c>
      <c r="AF49" s="17">
        <f t="shared" ref="AF49:AJ49" si="170">SUM(AF45:AF48)</f>
        <v>1350.1999999999998</v>
      </c>
      <c r="AG49" s="17">
        <f t="shared" si="170"/>
        <v>1400.1000000000001</v>
      </c>
      <c r="AH49" s="17">
        <f t="shared" si="170"/>
        <v>1378.7</v>
      </c>
      <c r="AI49" s="17">
        <f t="shared" si="170"/>
        <v>1339.1</v>
      </c>
      <c r="AJ49" s="20">
        <f t="shared" si="170"/>
        <v>1339.1</v>
      </c>
      <c r="AK49" s="17">
        <f t="shared" ref="AK49:AO49" si="171">SUM(AK45:AK48)</f>
        <v>1524.7</v>
      </c>
      <c r="AL49" s="17">
        <f t="shared" si="171"/>
        <v>1387.1999999999998</v>
      </c>
      <c r="AM49" s="17">
        <f t="shared" si="171"/>
        <v>1407.9</v>
      </c>
      <c r="AN49" s="17">
        <f t="shared" si="171"/>
        <v>1281.7</v>
      </c>
      <c r="AO49" s="20">
        <f t="shared" si="171"/>
        <v>1281.7</v>
      </c>
      <c r="AP49" s="17">
        <f t="shared" ref="AP49:AT49" si="172">SUM(AP45:AP48)</f>
        <v>1409.8</v>
      </c>
      <c r="AQ49" s="17">
        <f t="shared" si="172"/>
        <v>1489.4999999999998</v>
      </c>
      <c r="AR49" s="17">
        <f t="shared" si="172"/>
        <v>1435</v>
      </c>
      <c r="AS49" s="17">
        <f t="shared" si="172"/>
        <v>1429.6</v>
      </c>
      <c r="AT49" s="20">
        <f t="shared" si="172"/>
        <v>1429.5</v>
      </c>
      <c r="AU49" s="17"/>
      <c r="AV49" s="17"/>
      <c r="AW49" s="17"/>
      <c r="AX49" s="17"/>
      <c r="AY49" s="20">
        <f t="shared" ref="AY49" si="173">SUM(AY45:AY48)</f>
        <v>1325.3000000000002</v>
      </c>
      <c r="AZ49" s="17"/>
      <c r="BA49" s="17"/>
      <c r="BB49" s="17"/>
      <c r="BC49" s="17"/>
      <c r="BD49" s="20">
        <f t="shared" ref="BD49" si="174">SUM(BD45:BD48)</f>
        <v>1352.7</v>
      </c>
      <c r="BE49" s="17"/>
      <c r="BF49" s="17"/>
      <c r="BG49" s="17"/>
      <c r="BH49" s="17"/>
      <c r="BI49" s="20">
        <f>SUM(BI45:BI48)</f>
        <v>1808.7</v>
      </c>
      <c r="BJ49" s="51"/>
      <c r="BK49" s="17"/>
      <c r="BL49" s="17"/>
      <c r="BM49" s="17"/>
      <c r="BN49" s="20">
        <f>SUM(BN45:BN48)</f>
        <v>1590.2</v>
      </c>
      <c r="BO49" s="17">
        <f t="shared" ref="BO49:BR49" si="175">SUM(BO45:BO48)</f>
        <v>1725.6999999999998</v>
      </c>
      <c r="BP49" s="17">
        <f t="shared" si="175"/>
        <v>1760.3</v>
      </c>
      <c r="BQ49" s="17">
        <f t="shared" si="175"/>
        <v>1655.9</v>
      </c>
      <c r="BR49" s="17">
        <f t="shared" si="175"/>
        <v>1577.1000000000001</v>
      </c>
      <c r="BS49" s="20">
        <f t="shared" ref="BS49" si="176">SUM(BS45:BS48)</f>
        <v>1577.1000000000001</v>
      </c>
      <c r="BT49" s="17">
        <f t="shared" ref="BT49" si="177">SUM(BT45:BT48)</f>
        <v>1818.8</v>
      </c>
      <c r="BU49" s="17">
        <f t="shared" ref="BU49:BW49" si="178">SUM(BU45:BU48)</f>
        <v>1447.1</v>
      </c>
      <c r="BV49" s="17">
        <f t="shared" si="178"/>
        <v>1558</v>
      </c>
      <c r="BW49" s="17">
        <f t="shared" si="178"/>
        <v>1658.1</v>
      </c>
      <c r="BX49" s="20">
        <f t="shared" ref="BX49:CC49" si="179">SUM(BX45:BX48)</f>
        <v>1658.1</v>
      </c>
      <c r="BY49" s="17">
        <f t="shared" si="179"/>
        <v>1789</v>
      </c>
      <c r="BZ49" s="17">
        <f t="shared" si="179"/>
        <v>1894.8000000000002</v>
      </c>
      <c r="CA49" s="17">
        <f t="shared" si="179"/>
        <v>1983.6</v>
      </c>
      <c r="CB49" s="17">
        <f t="shared" si="179"/>
        <v>2065.3000000000002</v>
      </c>
      <c r="CC49" s="20">
        <f t="shared" si="179"/>
        <v>2065.3000000000002</v>
      </c>
      <c r="CD49" s="17">
        <f t="shared" ref="CD49:CG49" si="180">SUM(CD45:CD48)</f>
        <v>2138</v>
      </c>
      <c r="CE49" s="17">
        <f t="shared" si="180"/>
        <v>2091.8000000000002</v>
      </c>
      <c r="CF49" s="17">
        <f t="shared" si="180"/>
        <v>2001</v>
      </c>
      <c r="CG49" s="17">
        <f t="shared" si="180"/>
        <v>1958</v>
      </c>
      <c r="CH49" s="20">
        <f t="shared" ref="CH49:CT49" si="181">SUM(CH45:CH48)</f>
        <v>1958</v>
      </c>
      <c r="CI49" s="17">
        <f t="shared" si="181"/>
        <v>2014.8000000000002</v>
      </c>
      <c r="CJ49" s="17">
        <f t="shared" si="181"/>
        <v>1905.8000000000002</v>
      </c>
      <c r="CK49" s="17">
        <f t="shared" si="181"/>
        <v>1886.1999999999998</v>
      </c>
      <c r="CL49" s="17">
        <f t="shared" si="181"/>
        <v>1881.4</v>
      </c>
      <c r="CM49" s="20">
        <f t="shared" ref="CM49:CN49" si="182">SUM(CM45:CM48)</f>
        <v>1881.4</v>
      </c>
      <c r="CN49" s="17">
        <f t="shared" si="182"/>
        <v>1860.3000000000002</v>
      </c>
      <c r="CO49" s="17">
        <f t="shared" si="181"/>
        <v>1788.6</v>
      </c>
      <c r="CP49" s="17">
        <f t="shared" si="181"/>
        <v>1734.4999999999998</v>
      </c>
      <c r="CQ49" s="17">
        <f t="shared" si="181"/>
        <v>1690.4999999999998</v>
      </c>
      <c r="CR49" s="20">
        <f t="shared" si="181"/>
        <v>1690.4999999999998</v>
      </c>
      <c r="CS49" s="17">
        <f t="shared" si="181"/>
        <v>1784.1</v>
      </c>
      <c r="CT49" s="17">
        <f t="shared" si="181"/>
        <v>1742.6999999999998</v>
      </c>
      <c r="CU49" s="17">
        <f t="shared" ref="CU49:CW49" si="183">SUM(CU45:CU48)</f>
        <v>1708.8</v>
      </c>
      <c r="CV49" s="17">
        <f t="shared" si="183"/>
        <v>1743.6000000000001</v>
      </c>
      <c r="CW49" s="20">
        <f t="shared" si="183"/>
        <v>1743.6000000000001</v>
      </c>
    </row>
    <row r="50" spans="1:101" x14ac:dyDescent="0.2">
      <c r="A50" s="1" t="s">
        <v>125</v>
      </c>
      <c r="B50" s="17"/>
      <c r="C50" s="17"/>
      <c r="D50" s="17"/>
      <c r="E50" s="17"/>
      <c r="F50" s="20">
        <v>694.3</v>
      </c>
      <c r="G50" s="17"/>
      <c r="H50" s="17"/>
      <c r="I50" s="17"/>
      <c r="J50" s="17"/>
      <c r="K50" s="20">
        <f>726.9+0.2</f>
        <v>727.1</v>
      </c>
      <c r="L50" s="17">
        <v>736.4</v>
      </c>
      <c r="M50" s="17">
        <v>739.6</v>
      </c>
      <c r="N50" s="17">
        <v>722.4</v>
      </c>
      <c r="O50" s="17">
        <v>681.4</v>
      </c>
      <c r="P50" s="20">
        <v>681.4</v>
      </c>
      <c r="Q50" s="17">
        <v>671.4</v>
      </c>
      <c r="R50" s="17">
        <v>685.6</v>
      </c>
      <c r="S50" s="17">
        <v>664</v>
      </c>
      <c r="T50" s="17">
        <v>668.6</v>
      </c>
      <c r="U50" s="20">
        <v>668.6</v>
      </c>
      <c r="V50" s="17">
        <v>641.4</v>
      </c>
      <c r="W50" s="17">
        <v>624.6</v>
      </c>
      <c r="X50" s="17">
        <v>621.29999999999995</v>
      </c>
      <c r="Y50" s="17">
        <v>624.20000000000005</v>
      </c>
      <c r="Z50" s="20">
        <v>624.20000000000005</v>
      </c>
      <c r="AA50" s="17">
        <v>616.1</v>
      </c>
      <c r="AB50" s="17">
        <v>618</v>
      </c>
      <c r="AC50" s="17">
        <v>600.9</v>
      </c>
      <c r="AD50" s="17">
        <v>580.6</v>
      </c>
      <c r="AE50" s="20">
        <v>580.6</v>
      </c>
      <c r="AF50" s="17">
        <v>592.4</v>
      </c>
      <c r="AG50" s="17">
        <v>581.1</v>
      </c>
      <c r="AH50" s="17">
        <v>575.4</v>
      </c>
      <c r="AI50" s="17">
        <v>572.79999999999995</v>
      </c>
      <c r="AJ50" s="20">
        <v>572.79999999999995</v>
      </c>
      <c r="AK50" s="17">
        <v>566.79999999999995</v>
      </c>
      <c r="AL50" s="17">
        <v>562.1</v>
      </c>
      <c r="AM50" s="17">
        <v>579.9</v>
      </c>
      <c r="AN50" s="17">
        <v>574.6</v>
      </c>
      <c r="AO50" s="20">
        <v>574.6</v>
      </c>
      <c r="AP50" s="17">
        <v>564.29999999999995</v>
      </c>
      <c r="AQ50" s="17">
        <v>582.6</v>
      </c>
      <c r="AR50" s="17">
        <v>546.6</v>
      </c>
      <c r="AS50" s="17">
        <v>558.9</v>
      </c>
      <c r="AT50" s="20">
        <v>558.9</v>
      </c>
      <c r="AU50" s="17"/>
      <c r="AV50" s="17"/>
      <c r="AW50" s="17"/>
      <c r="AX50" s="17"/>
      <c r="AY50" s="20">
        <v>540.79999999999995</v>
      </c>
      <c r="AZ50" s="17"/>
      <c r="BA50" s="17"/>
      <c r="BB50" s="17"/>
      <c r="BC50" s="17"/>
      <c r="BD50" s="20">
        <v>565.5</v>
      </c>
      <c r="BE50" s="17"/>
      <c r="BF50" s="17"/>
      <c r="BG50" s="17"/>
      <c r="BH50" s="17"/>
      <c r="BI50" s="20">
        <v>663.9</v>
      </c>
      <c r="BJ50" s="17"/>
      <c r="BK50" s="17"/>
      <c r="BL50" s="17"/>
      <c r="BM50" s="17"/>
      <c r="BN50" s="20">
        <v>728.5</v>
      </c>
      <c r="BO50" s="17">
        <v>810.3</v>
      </c>
      <c r="BP50" s="17">
        <v>817.9</v>
      </c>
      <c r="BQ50" s="17">
        <v>817.3</v>
      </c>
      <c r="BR50" s="17">
        <v>830.8</v>
      </c>
      <c r="BS50" s="20">
        <v>830.8</v>
      </c>
      <c r="BT50" s="17">
        <v>809.5</v>
      </c>
      <c r="BU50" s="17">
        <v>797.4</v>
      </c>
      <c r="BV50" s="17">
        <v>785.7</v>
      </c>
      <c r="BW50" s="17">
        <v>784.8</v>
      </c>
      <c r="BX50" s="20">
        <v>784.8</v>
      </c>
      <c r="BY50" s="17">
        <v>775.3</v>
      </c>
      <c r="BZ50" s="17">
        <v>785.9</v>
      </c>
      <c r="CA50" s="17">
        <v>780.3</v>
      </c>
      <c r="CB50" s="17">
        <v>781.5</v>
      </c>
      <c r="CC50" s="20">
        <v>781.5</v>
      </c>
      <c r="CD50" s="17">
        <v>768.6</v>
      </c>
      <c r="CE50" s="17">
        <v>750.4</v>
      </c>
      <c r="CF50" s="17">
        <v>741.2</v>
      </c>
      <c r="CG50" s="17">
        <v>772.4</v>
      </c>
      <c r="CH50" s="20">
        <v>772.4</v>
      </c>
      <c r="CI50" s="17">
        <v>786.6</v>
      </c>
      <c r="CJ50" s="17">
        <v>789.2</v>
      </c>
      <c r="CK50" s="17">
        <v>776.7</v>
      </c>
      <c r="CL50" s="17">
        <v>781.2</v>
      </c>
      <c r="CM50" s="20">
        <v>781.2</v>
      </c>
      <c r="CN50" s="17">
        <v>772.1</v>
      </c>
      <c r="CO50" s="17">
        <v>756.6</v>
      </c>
      <c r="CP50" s="17">
        <v>748.9</v>
      </c>
      <c r="CQ50" s="17">
        <v>724.4</v>
      </c>
      <c r="CR50" s="20">
        <v>724.4</v>
      </c>
      <c r="CS50" s="17">
        <v>692.1</v>
      </c>
      <c r="CT50" s="17">
        <v>686.4</v>
      </c>
      <c r="CU50" s="17">
        <v>673.2</v>
      </c>
      <c r="CV50" s="17">
        <v>664</v>
      </c>
      <c r="CW50" s="20">
        <v>664</v>
      </c>
    </row>
    <row r="51" spans="1:101" x14ac:dyDescent="0.2">
      <c r="A51" s="1" t="s">
        <v>126</v>
      </c>
      <c r="B51" s="26"/>
      <c r="C51" s="26"/>
      <c r="D51" s="26"/>
      <c r="E51" s="26"/>
      <c r="F51" s="21">
        <f>1408.4-138-15-4.8</f>
        <v>1250.6000000000001</v>
      </c>
      <c r="G51" s="26"/>
      <c r="H51" s="26"/>
      <c r="I51" s="26"/>
      <c r="J51" s="26"/>
      <c r="K51" s="21">
        <f>1511.2-269.5-4.3</f>
        <v>1237.4000000000001</v>
      </c>
      <c r="L51" s="26">
        <v>1239.2</v>
      </c>
      <c r="M51" s="26">
        <v>1256.9000000000001</v>
      </c>
      <c r="N51" s="26">
        <v>1249.8</v>
      </c>
      <c r="O51" s="26">
        <v>1143.5</v>
      </c>
      <c r="P51" s="21">
        <v>1143.5</v>
      </c>
      <c r="Q51" s="26">
        <v>1118.0999999999999</v>
      </c>
      <c r="R51" s="26">
        <v>1131.2</v>
      </c>
      <c r="S51" s="26">
        <v>1138.3</v>
      </c>
      <c r="T51" s="26">
        <v>1151.8</v>
      </c>
      <c r="U51" s="21">
        <v>1151.8</v>
      </c>
      <c r="V51" s="26">
        <v>1142.5</v>
      </c>
      <c r="W51" s="26">
        <v>1120.4000000000001</v>
      </c>
      <c r="X51" s="26">
        <v>1124.9000000000001</v>
      </c>
      <c r="Y51" s="26">
        <f>1132.8+24.9</f>
        <v>1157.7</v>
      </c>
      <c r="Z51" s="21">
        <f>1132.8+24.9</f>
        <v>1157.7</v>
      </c>
      <c r="AA51" s="26">
        <v>1160.4000000000001</v>
      </c>
      <c r="AB51" s="26">
        <f>1138.9+19.9</f>
        <v>1158.8000000000002</v>
      </c>
      <c r="AC51" s="26">
        <f>1110.8+19.3</f>
        <v>1130.0999999999999</v>
      </c>
      <c r="AD51" s="26">
        <f>1090.9+19.6</f>
        <v>1110.5</v>
      </c>
      <c r="AE51" s="21">
        <f>1090.9+19.6</f>
        <v>1110.5</v>
      </c>
      <c r="AF51" s="26">
        <f>1250.1+20</f>
        <v>1270.0999999999999</v>
      </c>
      <c r="AG51" s="26">
        <f>1239.4+19.5</f>
        <v>1258.9000000000001</v>
      </c>
      <c r="AH51" s="26">
        <f>1271.3+20.5</f>
        <v>1291.8</v>
      </c>
      <c r="AI51" s="26">
        <f>21.8+1321.2</f>
        <v>1343</v>
      </c>
      <c r="AJ51" s="21">
        <f>21.8+1321.2</f>
        <v>1343</v>
      </c>
      <c r="AK51" s="26">
        <f>1316.1+20.3</f>
        <v>1336.3999999999999</v>
      </c>
      <c r="AL51" s="26">
        <f>1311.7+17.7</f>
        <v>1329.4</v>
      </c>
      <c r="AM51" s="26">
        <f>1300.4+16.9</f>
        <v>1317.3000000000002</v>
      </c>
      <c r="AN51" s="26">
        <f>19.1+1232.7</f>
        <v>1251.8</v>
      </c>
      <c r="AO51" s="21">
        <f>19.1+1232.7</f>
        <v>1251.8</v>
      </c>
      <c r="AP51" s="26">
        <f>1228+19.4</f>
        <v>1247.4000000000001</v>
      </c>
      <c r="AQ51" s="26">
        <f>17.8+1153.5</f>
        <v>1171.3</v>
      </c>
      <c r="AR51" s="26">
        <f>1153.4+49.7</f>
        <v>1203.1000000000001</v>
      </c>
      <c r="AS51" s="26">
        <f>22.4+1129.7</f>
        <v>1152.1000000000001</v>
      </c>
      <c r="AT51" s="21">
        <f>22.4+1129.7</f>
        <v>1152.1000000000001</v>
      </c>
      <c r="AU51" s="26"/>
      <c r="AV51" s="26"/>
      <c r="AW51" s="26"/>
      <c r="AX51" s="26"/>
      <c r="AY51" s="21">
        <f>1103.3+8.4</f>
        <v>1111.7</v>
      </c>
      <c r="AZ51" s="26"/>
      <c r="BA51" s="26"/>
      <c r="BB51" s="26"/>
      <c r="BC51" s="26"/>
      <c r="BD51" s="21">
        <f>11+1083</f>
        <v>1094</v>
      </c>
      <c r="BE51" s="26"/>
      <c r="BF51" s="26"/>
      <c r="BG51" s="26"/>
      <c r="BH51" s="26"/>
      <c r="BI51" s="21">
        <v>1120.4000000000001</v>
      </c>
      <c r="BJ51" s="26"/>
      <c r="BK51" s="26"/>
      <c r="BL51" s="26"/>
      <c r="BM51" s="26"/>
      <c r="BN51" s="21">
        <v>1128.9000000000001</v>
      </c>
      <c r="BO51" s="26">
        <v>2484.5</v>
      </c>
      <c r="BP51" s="26">
        <v>2481.1000000000004</v>
      </c>
      <c r="BQ51" s="26">
        <v>2435.9</v>
      </c>
      <c r="BR51" s="26">
        <v>2447.5</v>
      </c>
      <c r="BS51" s="21">
        <v>2447.5</v>
      </c>
      <c r="BT51" s="26">
        <v>2390.5</v>
      </c>
      <c r="BU51" s="26">
        <v>2374.4</v>
      </c>
      <c r="BV51" s="26">
        <v>2359.8000000000002</v>
      </c>
      <c r="BW51" s="26">
        <v>2357.1</v>
      </c>
      <c r="BX51" s="21">
        <v>2357.1</v>
      </c>
      <c r="BY51" s="26">
        <v>2347.3000000000002</v>
      </c>
      <c r="BZ51" s="26">
        <v>2469.4</v>
      </c>
      <c r="CA51" s="26">
        <v>2471.1999999999998</v>
      </c>
      <c r="CB51" s="26">
        <v>2460.5</v>
      </c>
      <c r="CC51" s="21">
        <v>2460.5</v>
      </c>
      <c r="CD51" s="26">
        <v>2435.1999999999998</v>
      </c>
      <c r="CE51" s="26">
        <v>2388.4</v>
      </c>
      <c r="CF51" s="26">
        <v>2433</v>
      </c>
      <c r="CG51" s="26">
        <v>2455.6999999999998</v>
      </c>
      <c r="CH51" s="21">
        <v>2455.6999999999998</v>
      </c>
      <c r="CI51" s="26">
        <v>2468.6</v>
      </c>
      <c r="CJ51" s="26">
        <v>2449.3000000000002</v>
      </c>
      <c r="CK51" s="26">
        <v>2414.6999999999998</v>
      </c>
      <c r="CL51" s="26">
        <v>1971.9</v>
      </c>
      <c r="CM51" s="21">
        <v>1971.9</v>
      </c>
      <c r="CN51" s="26">
        <v>1982.4</v>
      </c>
      <c r="CO51" s="26">
        <v>1293.5999999999999</v>
      </c>
      <c r="CP51" s="26">
        <v>1296.7</v>
      </c>
      <c r="CQ51" s="26">
        <v>1246.7</v>
      </c>
      <c r="CR51" s="21">
        <v>1246.7</v>
      </c>
      <c r="CS51" s="26">
        <v>1272.7</v>
      </c>
      <c r="CT51" s="26">
        <v>1274.5999999999999</v>
      </c>
      <c r="CU51" s="26">
        <v>1143</v>
      </c>
      <c r="CV51" s="26">
        <v>1128.8</v>
      </c>
      <c r="CW51" s="21">
        <v>1128.8</v>
      </c>
    </row>
    <row r="52" spans="1:101" x14ac:dyDescent="0.2">
      <c r="A52" s="6" t="s">
        <v>127</v>
      </c>
      <c r="B52" s="18"/>
      <c r="C52" s="18"/>
      <c r="D52" s="18"/>
      <c r="E52" s="18"/>
      <c r="F52" s="22">
        <f>SUM(F49:F51)</f>
        <v>3499.8</v>
      </c>
      <c r="G52" s="18"/>
      <c r="H52" s="18"/>
      <c r="I52" s="18"/>
      <c r="J52" s="18"/>
      <c r="K52" s="22">
        <f t="shared" ref="K52:Q52" si="184">SUM(K49:K51)</f>
        <v>3495.8830000000003</v>
      </c>
      <c r="L52" s="18">
        <f t="shared" si="184"/>
        <v>3525.7</v>
      </c>
      <c r="M52" s="18">
        <f t="shared" si="184"/>
        <v>3653.3</v>
      </c>
      <c r="N52" s="18">
        <f t="shared" si="184"/>
        <v>3623.7</v>
      </c>
      <c r="O52" s="18">
        <f t="shared" si="184"/>
        <v>3100.7</v>
      </c>
      <c r="P52" s="22">
        <f t="shared" si="184"/>
        <v>3100.7</v>
      </c>
      <c r="Q52" s="18">
        <f t="shared" si="184"/>
        <v>2965</v>
      </c>
      <c r="R52" s="18">
        <f t="shared" ref="R52:Z52" si="185">SUM(R49:R51)</f>
        <v>3011.7</v>
      </c>
      <c r="S52" s="18">
        <f t="shared" si="185"/>
        <v>3034.7</v>
      </c>
      <c r="T52" s="18">
        <f t="shared" si="185"/>
        <v>3017.5999999999995</v>
      </c>
      <c r="U52" s="22">
        <f t="shared" si="185"/>
        <v>3017.5999999999995</v>
      </c>
      <c r="V52" s="18">
        <f t="shared" si="185"/>
        <v>3046.6</v>
      </c>
      <c r="W52" s="18">
        <f t="shared" si="185"/>
        <v>3033.3</v>
      </c>
      <c r="X52" s="18">
        <f t="shared" si="185"/>
        <v>3054.6</v>
      </c>
      <c r="Y52" s="18">
        <f t="shared" si="185"/>
        <v>3001</v>
      </c>
      <c r="Z52" s="22">
        <f t="shared" si="185"/>
        <v>3001</v>
      </c>
      <c r="AA52" s="18">
        <f t="shared" ref="AA52:AE52" si="186">SUM(AA49:AA51)</f>
        <v>3066.9</v>
      </c>
      <c r="AB52" s="18">
        <f t="shared" si="186"/>
        <v>3094.7000000000003</v>
      </c>
      <c r="AC52" s="18">
        <f t="shared" si="186"/>
        <v>3022.2999999999997</v>
      </c>
      <c r="AD52" s="18">
        <f t="shared" si="186"/>
        <v>2915.1</v>
      </c>
      <c r="AE52" s="22">
        <f t="shared" si="186"/>
        <v>2915.1</v>
      </c>
      <c r="AF52" s="18">
        <f t="shared" ref="AF52:AJ52" si="187">SUM(AF49:AF51)</f>
        <v>3212.7</v>
      </c>
      <c r="AG52" s="18">
        <f t="shared" si="187"/>
        <v>3240.1000000000004</v>
      </c>
      <c r="AH52" s="18">
        <f t="shared" si="187"/>
        <v>3245.8999999999996</v>
      </c>
      <c r="AI52" s="18">
        <f t="shared" si="187"/>
        <v>3254.8999999999996</v>
      </c>
      <c r="AJ52" s="22">
        <f t="shared" si="187"/>
        <v>3254.8999999999996</v>
      </c>
      <c r="AK52" s="18">
        <f t="shared" ref="AK52:AO52" si="188">SUM(AK49:AK51)</f>
        <v>3427.8999999999996</v>
      </c>
      <c r="AL52" s="18">
        <f t="shared" si="188"/>
        <v>3278.7</v>
      </c>
      <c r="AM52" s="18">
        <f t="shared" si="188"/>
        <v>3305.1000000000004</v>
      </c>
      <c r="AN52" s="18">
        <f t="shared" si="188"/>
        <v>3108.1000000000004</v>
      </c>
      <c r="AO52" s="22">
        <f t="shared" si="188"/>
        <v>3108.1000000000004</v>
      </c>
      <c r="AP52" s="18">
        <f t="shared" ref="AP52:AT52" si="189">SUM(AP49:AP51)</f>
        <v>3221.5</v>
      </c>
      <c r="AQ52" s="18">
        <f t="shared" si="189"/>
        <v>3243.3999999999996</v>
      </c>
      <c r="AR52" s="18">
        <f t="shared" si="189"/>
        <v>3184.7</v>
      </c>
      <c r="AS52" s="18">
        <f t="shared" si="189"/>
        <v>3140.6000000000004</v>
      </c>
      <c r="AT52" s="63">
        <f t="shared" si="189"/>
        <v>3140.5</v>
      </c>
      <c r="AU52" s="18"/>
      <c r="AV52" s="18"/>
      <c r="AW52" s="18"/>
      <c r="AX52" s="18"/>
      <c r="AY52" s="22">
        <f t="shared" ref="AY52" si="190">SUM(AY49:AY51)</f>
        <v>2977.8</v>
      </c>
      <c r="AZ52" s="18"/>
      <c r="BA52" s="18"/>
      <c r="BB52" s="18"/>
      <c r="BC52" s="18"/>
      <c r="BD52" s="22">
        <f t="shared" ref="BD52" si="191">SUM(BD49:BD51)</f>
        <v>3012.2</v>
      </c>
      <c r="BE52" s="18"/>
      <c r="BF52" s="18"/>
      <c r="BG52" s="18"/>
      <c r="BH52" s="18"/>
      <c r="BI52" s="22">
        <f>SUM(BI49:BI51)</f>
        <v>3593</v>
      </c>
      <c r="BJ52" s="52"/>
      <c r="BK52" s="18"/>
      <c r="BL52" s="18"/>
      <c r="BM52" s="18"/>
      <c r="BN52" s="22">
        <f t="shared" ref="BN52:BR52" si="192">SUM(BN49:BN51)</f>
        <v>3447.6</v>
      </c>
      <c r="BO52" s="18">
        <f t="shared" si="192"/>
        <v>5020.5</v>
      </c>
      <c r="BP52" s="18">
        <f t="shared" si="192"/>
        <v>5059.3</v>
      </c>
      <c r="BQ52" s="18">
        <f t="shared" si="192"/>
        <v>4909.1000000000004</v>
      </c>
      <c r="BR52" s="18">
        <f t="shared" si="192"/>
        <v>4855.3999999999996</v>
      </c>
      <c r="BS52" s="22">
        <f t="shared" ref="BS52" si="193">SUM(BS49:BS51)</f>
        <v>4855.3999999999996</v>
      </c>
      <c r="BT52" s="18">
        <f t="shared" ref="BT52" si="194">SUM(BT49:BT51)</f>
        <v>5018.8</v>
      </c>
      <c r="BU52" s="18">
        <f t="shared" ref="BU52:BW52" si="195">SUM(BU49:BU51)</f>
        <v>4618.8999999999996</v>
      </c>
      <c r="BV52" s="18">
        <f t="shared" si="195"/>
        <v>4703.5</v>
      </c>
      <c r="BW52" s="18">
        <f t="shared" si="195"/>
        <v>4800</v>
      </c>
      <c r="BX52" s="22">
        <f t="shared" ref="BX52:CC52" si="196">SUM(BX49:BX51)</f>
        <v>4800</v>
      </c>
      <c r="BY52" s="18">
        <f t="shared" si="196"/>
        <v>4911.6000000000004</v>
      </c>
      <c r="BZ52" s="18">
        <f t="shared" si="196"/>
        <v>5150.1000000000004</v>
      </c>
      <c r="CA52" s="18">
        <f t="shared" si="196"/>
        <v>5235.0999999999995</v>
      </c>
      <c r="CB52" s="18">
        <f t="shared" si="196"/>
        <v>5307.3</v>
      </c>
      <c r="CC52" s="22">
        <f t="shared" si="196"/>
        <v>5307.3</v>
      </c>
      <c r="CD52" s="18">
        <f t="shared" ref="CD52:CG52" si="197">SUM(CD49:CD51)</f>
        <v>5341.7999999999993</v>
      </c>
      <c r="CE52" s="18">
        <f t="shared" si="197"/>
        <v>5230.6000000000004</v>
      </c>
      <c r="CF52" s="18">
        <f t="shared" si="197"/>
        <v>5175.2</v>
      </c>
      <c r="CG52" s="18">
        <f t="shared" si="197"/>
        <v>5186.1000000000004</v>
      </c>
      <c r="CH52" s="22">
        <f t="shared" ref="CH52:CT52" si="198">SUM(CH49:CH51)</f>
        <v>5186.1000000000004</v>
      </c>
      <c r="CI52" s="18">
        <f t="shared" si="198"/>
        <v>5270</v>
      </c>
      <c r="CJ52" s="18">
        <f t="shared" si="198"/>
        <v>5144.3</v>
      </c>
      <c r="CK52" s="18">
        <f t="shared" si="198"/>
        <v>5077.5999999999995</v>
      </c>
      <c r="CL52" s="18">
        <f t="shared" si="198"/>
        <v>4634.5</v>
      </c>
      <c r="CM52" s="22">
        <f t="shared" ref="CM52:CN52" si="199">SUM(CM49:CM51)</f>
        <v>4634.5</v>
      </c>
      <c r="CN52" s="18">
        <f t="shared" si="199"/>
        <v>4614.8</v>
      </c>
      <c r="CO52" s="18">
        <f t="shared" si="198"/>
        <v>3838.7999999999997</v>
      </c>
      <c r="CP52" s="18">
        <f t="shared" si="198"/>
        <v>3780.0999999999995</v>
      </c>
      <c r="CQ52" s="18">
        <f t="shared" si="198"/>
        <v>3661.5999999999995</v>
      </c>
      <c r="CR52" s="22">
        <f t="shared" si="198"/>
        <v>3661.5999999999995</v>
      </c>
      <c r="CS52" s="18">
        <f t="shared" si="198"/>
        <v>3748.8999999999996</v>
      </c>
      <c r="CT52" s="18">
        <f t="shared" si="198"/>
        <v>3703.7</v>
      </c>
      <c r="CU52" s="18">
        <f t="shared" ref="CU52:CW52" si="200">SUM(CU49:CU51)</f>
        <v>3525</v>
      </c>
      <c r="CV52" s="18">
        <f t="shared" si="200"/>
        <v>3536.4000000000005</v>
      </c>
      <c r="CW52" s="22">
        <f t="shared" si="200"/>
        <v>3536.4000000000005</v>
      </c>
    </row>
    <row r="53" spans="1:101" ht="6" customHeight="1" x14ac:dyDescent="0.2">
      <c r="A53" s="6"/>
      <c r="B53" s="18"/>
      <c r="C53" s="18"/>
      <c r="D53" s="18"/>
      <c r="E53" s="18"/>
      <c r="F53" s="22"/>
      <c r="G53" s="18"/>
      <c r="H53" s="18"/>
      <c r="I53" s="18"/>
      <c r="J53" s="18"/>
      <c r="K53" s="22"/>
      <c r="L53" s="18"/>
      <c r="M53" s="18"/>
      <c r="N53" s="18"/>
      <c r="O53" s="18"/>
      <c r="P53" s="22"/>
      <c r="Q53" s="18"/>
      <c r="R53" s="18"/>
      <c r="S53" s="18"/>
      <c r="T53" s="18"/>
      <c r="U53" s="22"/>
      <c r="V53" s="18"/>
      <c r="W53" s="18"/>
      <c r="X53" s="18"/>
      <c r="Y53" s="18"/>
      <c r="Z53" s="22"/>
      <c r="AA53" s="18"/>
      <c r="AB53" s="18"/>
      <c r="AC53" s="18"/>
      <c r="AD53" s="18"/>
      <c r="AE53" s="22"/>
      <c r="AF53" s="18"/>
      <c r="AG53" s="18"/>
      <c r="AH53" s="18"/>
      <c r="AI53" s="18"/>
      <c r="AJ53" s="22"/>
      <c r="AK53" s="18"/>
      <c r="AL53" s="18"/>
      <c r="AM53" s="18"/>
      <c r="AN53" s="18"/>
      <c r="AO53" s="22"/>
      <c r="AP53" s="18"/>
      <c r="AQ53" s="18"/>
      <c r="AR53" s="18"/>
      <c r="AS53" s="18"/>
      <c r="AT53" s="22"/>
      <c r="AU53" s="18"/>
      <c r="AV53" s="18"/>
      <c r="AW53" s="18"/>
      <c r="AX53" s="18"/>
      <c r="AY53" s="22"/>
      <c r="AZ53" s="18"/>
      <c r="BA53" s="18"/>
      <c r="BB53" s="18"/>
      <c r="BC53" s="18"/>
      <c r="BD53" s="22"/>
      <c r="BE53" s="18"/>
      <c r="BF53" s="18"/>
      <c r="BG53" s="18"/>
      <c r="BH53" s="18"/>
      <c r="BI53" s="22"/>
      <c r="BJ53" s="18"/>
      <c r="BK53" s="18"/>
      <c r="BL53" s="18"/>
      <c r="BM53" s="18"/>
      <c r="BN53" s="22"/>
      <c r="BO53" s="18"/>
      <c r="BP53" s="18"/>
      <c r="BQ53" s="18"/>
      <c r="BR53" s="18"/>
      <c r="BS53" s="22"/>
      <c r="BT53" s="18"/>
      <c r="BU53" s="18"/>
      <c r="BV53" s="18"/>
      <c r="BW53" s="18"/>
      <c r="BX53" s="22"/>
      <c r="BY53" s="18"/>
      <c r="BZ53" s="18"/>
      <c r="CA53" s="18"/>
      <c r="CB53" s="18"/>
      <c r="CC53" s="22"/>
      <c r="CD53" s="18"/>
      <c r="CE53" s="18"/>
      <c r="CF53" s="18"/>
      <c r="CG53" s="18"/>
      <c r="CH53" s="22"/>
      <c r="CI53" s="18"/>
      <c r="CJ53" s="18"/>
      <c r="CK53" s="18"/>
      <c r="CL53" s="18"/>
      <c r="CM53" s="22"/>
      <c r="CN53" s="18"/>
      <c r="CO53" s="18"/>
      <c r="CP53" s="18"/>
      <c r="CQ53" s="18"/>
      <c r="CR53" s="22"/>
      <c r="CS53" s="18"/>
      <c r="CT53" s="18"/>
      <c r="CU53" s="18"/>
      <c r="CV53" s="18"/>
      <c r="CW53" s="22"/>
    </row>
    <row r="54" spans="1:101" x14ac:dyDescent="0.2">
      <c r="A54" s="1" t="s">
        <v>128</v>
      </c>
      <c r="B54" s="17"/>
      <c r="C54" s="17"/>
      <c r="D54" s="17"/>
      <c r="E54" s="17"/>
      <c r="F54" s="20">
        <v>208.9</v>
      </c>
      <c r="G54" s="17"/>
      <c r="H54" s="17"/>
      <c r="I54" s="17"/>
      <c r="J54" s="17"/>
      <c r="K54" s="20">
        <f>227.6-2.6</f>
        <v>225</v>
      </c>
      <c r="L54" s="17">
        <v>242.2</v>
      </c>
      <c r="M54" s="17">
        <v>278.8</v>
      </c>
      <c r="N54" s="17">
        <v>271.39999999999998</v>
      </c>
      <c r="O54" s="17">
        <v>175.3</v>
      </c>
      <c r="P54" s="20">
        <v>175.3</v>
      </c>
      <c r="Q54" s="17">
        <v>159.9</v>
      </c>
      <c r="R54" s="17">
        <v>186.4</v>
      </c>
      <c r="S54" s="17">
        <v>209.3</v>
      </c>
      <c r="T54" s="17">
        <v>199.4</v>
      </c>
      <c r="U54" s="20">
        <v>199.4</v>
      </c>
      <c r="V54" s="17">
        <v>240.6</v>
      </c>
      <c r="W54" s="17">
        <v>256.89999999999998</v>
      </c>
      <c r="X54" s="17">
        <v>232.2</v>
      </c>
      <c r="Y54" s="17">
        <v>226.4</v>
      </c>
      <c r="Z54" s="20">
        <v>226.4</v>
      </c>
      <c r="AA54" s="17">
        <v>301.8</v>
      </c>
      <c r="AB54" s="17">
        <v>282.3</v>
      </c>
      <c r="AC54" s="17">
        <v>274.2</v>
      </c>
      <c r="AD54" s="17">
        <v>256.60000000000002</v>
      </c>
      <c r="AE54" s="20">
        <v>256.60000000000002</v>
      </c>
      <c r="AF54" s="17">
        <v>298.2</v>
      </c>
      <c r="AG54" s="17">
        <v>320.2</v>
      </c>
      <c r="AH54" s="17">
        <v>292</v>
      </c>
      <c r="AI54" s="17">
        <v>285.39999999999998</v>
      </c>
      <c r="AJ54" s="20">
        <v>285.39999999999998</v>
      </c>
      <c r="AK54" s="17">
        <v>320</v>
      </c>
      <c r="AL54" s="17">
        <v>338.3</v>
      </c>
      <c r="AM54" s="17">
        <v>326.2</v>
      </c>
      <c r="AN54" s="17">
        <v>339.3</v>
      </c>
      <c r="AO54" s="20">
        <v>339.3</v>
      </c>
      <c r="AP54" s="17">
        <v>350.2</v>
      </c>
      <c r="AQ54" s="17">
        <v>376.7</v>
      </c>
      <c r="AR54" s="17">
        <v>356.9</v>
      </c>
      <c r="AS54" s="17">
        <v>369.8</v>
      </c>
      <c r="AT54" s="20">
        <v>369.8</v>
      </c>
      <c r="AU54" s="17"/>
      <c r="AV54" s="17"/>
      <c r="AW54" s="17"/>
      <c r="AX54" s="17"/>
      <c r="AY54" s="20">
        <v>307.2</v>
      </c>
      <c r="AZ54" s="17"/>
      <c r="BA54" s="17"/>
      <c r="BB54" s="17"/>
      <c r="BC54" s="17"/>
      <c r="BD54" s="20">
        <v>351</v>
      </c>
      <c r="BE54" s="17"/>
      <c r="BF54" s="17"/>
      <c r="BG54" s="17"/>
      <c r="BH54" s="17"/>
      <c r="BI54" s="20">
        <v>430.3</v>
      </c>
      <c r="BJ54" s="17"/>
      <c r="BK54" s="17"/>
      <c r="BL54" s="17"/>
      <c r="BM54" s="17"/>
      <c r="BN54" s="20">
        <v>465.4</v>
      </c>
      <c r="BO54" s="17">
        <v>431.2</v>
      </c>
      <c r="BP54" s="17">
        <v>452.9</v>
      </c>
      <c r="BQ54" s="17">
        <v>467.3</v>
      </c>
      <c r="BR54" s="17">
        <v>463.4</v>
      </c>
      <c r="BS54" s="20">
        <v>463.4</v>
      </c>
      <c r="BT54" s="17">
        <v>429.1</v>
      </c>
      <c r="BU54" s="17">
        <v>361.4</v>
      </c>
      <c r="BV54" s="17">
        <v>494.1</v>
      </c>
      <c r="BW54" s="17">
        <v>552.20000000000005</v>
      </c>
      <c r="BX54" s="20">
        <v>552.20000000000005</v>
      </c>
      <c r="BY54" s="17">
        <v>536.29999999999995</v>
      </c>
      <c r="BZ54" s="17">
        <v>612</v>
      </c>
      <c r="CA54" s="17">
        <v>607.1</v>
      </c>
      <c r="CB54" s="17">
        <v>613.79999999999995</v>
      </c>
      <c r="CC54" s="20">
        <v>613.79999999999995</v>
      </c>
      <c r="CD54" s="17">
        <v>622</v>
      </c>
      <c r="CE54" s="17">
        <v>602</v>
      </c>
      <c r="CF54" s="17">
        <v>512.5</v>
      </c>
      <c r="CG54" s="17">
        <v>518.4</v>
      </c>
      <c r="CH54" s="20">
        <v>518.4</v>
      </c>
      <c r="CI54" s="17">
        <v>552.20000000000005</v>
      </c>
      <c r="CJ54" s="17">
        <v>507.4</v>
      </c>
      <c r="CK54" s="17">
        <v>534.1</v>
      </c>
      <c r="CL54" s="17">
        <v>536.20000000000005</v>
      </c>
      <c r="CM54" s="20">
        <v>536.20000000000005</v>
      </c>
      <c r="CN54" s="17">
        <v>495.6</v>
      </c>
      <c r="CO54" s="17">
        <v>521.79999999999995</v>
      </c>
      <c r="CP54" s="17">
        <v>516</v>
      </c>
      <c r="CQ54" s="17">
        <v>497.7</v>
      </c>
      <c r="CR54" s="20">
        <v>497.7</v>
      </c>
      <c r="CS54" s="17">
        <v>476.5</v>
      </c>
      <c r="CT54" s="17">
        <v>468.4</v>
      </c>
      <c r="CU54" s="17">
        <v>485.3</v>
      </c>
      <c r="CV54" s="17">
        <v>466.6</v>
      </c>
      <c r="CW54" s="20">
        <v>466.6</v>
      </c>
    </row>
    <row r="55" spans="1:101" x14ac:dyDescent="0.2">
      <c r="A55" s="1" t="s">
        <v>129</v>
      </c>
      <c r="B55" s="17"/>
      <c r="C55" s="17"/>
      <c r="D55" s="17"/>
      <c r="E55" s="17"/>
      <c r="F55" s="20">
        <v>52</v>
      </c>
      <c r="G55" s="17"/>
      <c r="H55" s="17"/>
      <c r="I55" s="17"/>
      <c r="J55" s="17"/>
      <c r="K55" s="20">
        <v>88.7</v>
      </c>
      <c r="L55" s="17">
        <v>74.2</v>
      </c>
      <c r="M55" s="17">
        <v>11.4</v>
      </c>
      <c r="N55" s="17">
        <v>17.100000000000001</v>
      </c>
      <c r="O55" s="17">
        <v>22.4</v>
      </c>
      <c r="P55" s="20">
        <v>22.4</v>
      </c>
      <c r="Q55" s="17">
        <v>17.100000000000001</v>
      </c>
      <c r="R55" s="17">
        <v>17</v>
      </c>
      <c r="S55" s="17">
        <v>1.9</v>
      </c>
      <c r="T55" s="17">
        <v>10.1</v>
      </c>
      <c r="U55" s="20">
        <v>10.1</v>
      </c>
      <c r="V55" s="17">
        <v>10</v>
      </c>
      <c r="W55" s="17">
        <v>10</v>
      </c>
      <c r="X55" s="17">
        <v>9.8000000000000007</v>
      </c>
      <c r="Y55" s="17">
        <v>2.2000000000000002</v>
      </c>
      <c r="Z55" s="20">
        <v>2.2000000000000002</v>
      </c>
      <c r="AA55" s="17">
        <v>2.2000000000000002</v>
      </c>
      <c r="AB55" s="17">
        <v>2.2000000000000002</v>
      </c>
      <c r="AC55" s="17">
        <v>2.1</v>
      </c>
      <c r="AD55" s="17">
        <v>2.5</v>
      </c>
      <c r="AE55" s="20">
        <v>2.5</v>
      </c>
      <c r="AF55" s="17">
        <v>2.5</v>
      </c>
      <c r="AG55" s="17">
        <v>201.9</v>
      </c>
      <c r="AH55" s="17">
        <v>201.8</v>
      </c>
      <c r="AI55" s="17">
        <v>201.5</v>
      </c>
      <c r="AJ55" s="20">
        <v>201.5</v>
      </c>
      <c r="AK55" s="17">
        <v>201.4</v>
      </c>
      <c r="AL55" s="17">
        <v>1.8</v>
      </c>
      <c r="AM55" s="17">
        <v>1.1000000000000001</v>
      </c>
      <c r="AN55" s="17">
        <v>181.1</v>
      </c>
      <c r="AO55" s="20">
        <v>181.1</v>
      </c>
      <c r="AP55" s="17">
        <v>181.4</v>
      </c>
      <c r="AQ55" s="17">
        <v>181.3</v>
      </c>
      <c r="AR55" s="17">
        <v>381.6</v>
      </c>
      <c r="AS55" s="17">
        <v>201.7</v>
      </c>
      <c r="AT55" s="20">
        <v>201.7</v>
      </c>
      <c r="AU55" s="17"/>
      <c r="AV55" s="17"/>
      <c r="AW55" s="17"/>
      <c r="AX55" s="17"/>
      <c r="AY55" s="20">
        <v>3.4</v>
      </c>
      <c r="AZ55" s="17"/>
      <c r="BA55" s="17"/>
      <c r="BB55" s="17"/>
      <c r="BC55" s="17"/>
      <c r="BD55" s="20">
        <v>3.6</v>
      </c>
      <c r="BE55" s="17"/>
      <c r="BF55" s="17"/>
      <c r="BG55" s="17"/>
      <c r="BH55" s="17"/>
      <c r="BI55" s="20">
        <v>153.80000000000001</v>
      </c>
      <c r="BJ55" s="17"/>
      <c r="BK55" s="17"/>
      <c r="BL55" s="17"/>
      <c r="BM55" s="17"/>
      <c r="BN55" s="20">
        <v>1.2</v>
      </c>
      <c r="BO55" s="17">
        <v>51.4</v>
      </c>
      <c r="BP55" s="17">
        <v>51.3</v>
      </c>
      <c r="BQ55" s="17">
        <v>51.2</v>
      </c>
      <c r="BR55" s="17">
        <v>51.1</v>
      </c>
      <c r="BS55" s="20">
        <v>51.1</v>
      </c>
      <c r="BT55" s="17">
        <v>51.2</v>
      </c>
      <c r="BU55" s="17">
        <v>51.1</v>
      </c>
      <c r="BV55" s="17">
        <v>51.1</v>
      </c>
      <c r="BW55" s="17">
        <v>50.9</v>
      </c>
      <c r="BX55" s="20">
        <v>50.9</v>
      </c>
      <c r="BY55" s="17">
        <v>50.8</v>
      </c>
      <c r="BZ55" s="17">
        <v>50.8</v>
      </c>
      <c r="CA55" s="17">
        <v>300.39999999999998</v>
      </c>
      <c r="CB55" s="17">
        <v>300.60000000000002</v>
      </c>
      <c r="CC55" s="20">
        <v>300.60000000000002</v>
      </c>
      <c r="CD55" s="17">
        <v>301.3</v>
      </c>
      <c r="CE55" s="17">
        <v>301.3</v>
      </c>
      <c r="CF55" s="17">
        <v>7.4</v>
      </c>
      <c r="CG55" s="17">
        <v>9.4</v>
      </c>
      <c r="CH55" s="20">
        <v>9.4</v>
      </c>
      <c r="CI55" s="17">
        <v>8.9</v>
      </c>
      <c r="CJ55" s="17">
        <v>8.1999999999999993</v>
      </c>
      <c r="CK55" s="17">
        <v>8.9</v>
      </c>
      <c r="CL55" s="17">
        <v>308</v>
      </c>
      <c r="CM55" s="20">
        <v>308</v>
      </c>
      <c r="CN55" s="17">
        <v>303.8</v>
      </c>
      <c r="CO55" s="17">
        <v>301</v>
      </c>
      <c r="CP55" s="17">
        <v>301.10000000000002</v>
      </c>
      <c r="CQ55" s="17">
        <v>1.3</v>
      </c>
      <c r="CR55" s="20">
        <v>1.3</v>
      </c>
      <c r="CS55" s="17">
        <v>1.3</v>
      </c>
      <c r="CT55" s="17">
        <v>1.3</v>
      </c>
      <c r="CU55" s="17">
        <v>1.4</v>
      </c>
      <c r="CV55" s="17">
        <v>1.5</v>
      </c>
      <c r="CW55" s="20">
        <v>1.5</v>
      </c>
    </row>
    <row r="56" spans="1:101" x14ac:dyDescent="0.2">
      <c r="A56" s="1" t="s">
        <v>130</v>
      </c>
      <c r="B56" s="17"/>
      <c r="C56" s="17"/>
      <c r="D56" s="17"/>
      <c r="E56" s="17"/>
      <c r="F56" s="20"/>
      <c r="G56" s="17"/>
      <c r="H56" s="17"/>
      <c r="I56" s="17"/>
      <c r="J56" s="17"/>
      <c r="K56" s="20"/>
      <c r="L56" s="17"/>
      <c r="M56" s="17"/>
      <c r="N56" s="17"/>
      <c r="O56" s="17"/>
      <c r="P56" s="20"/>
      <c r="Q56" s="17"/>
      <c r="R56" s="17"/>
      <c r="S56" s="17"/>
      <c r="T56" s="17"/>
      <c r="U56" s="20"/>
      <c r="V56" s="17"/>
      <c r="W56" s="17"/>
      <c r="X56" s="17"/>
      <c r="Y56" s="17"/>
      <c r="Z56" s="20"/>
      <c r="AA56" s="17"/>
      <c r="AB56" s="17"/>
      <c r="AC56" s="17"/>
      <c r="AD56" s="17"/>
      <c r="AE56" s="20"/>
      <c r="AF56" s="17"/>
      <c r="AG56" s="17"/>
      <c r="AH56" s="17"/>
      <c r="AI56" s="17"/>
      <c r="AJ56" s="20"/>
      <c r="AK56" s="17"/>
      <c r="AL56" s="17"/>
      <c r="AM56" s="17"/>
      <c r="AN56" s="17"/>
      <c r="AO56" s="20"/>
      <c r="AP56" s="17"/>
      <c r="AQ56" s="17"/>
      <c r="AR56" s="17"/>
      <c r="AS56" s="17"/>
      <c r="AT56" s="20"/>
      <c r="AU56" s="17"/>
      <c r="AV56" s="17"/>
      <c r="AW56" s="17"/>
      <c r="AX56" s="17"/>
      <c r="AY56" s="20"/>
      <c r="AZ56" s="17"/>
      <c r="BA56" s="17"/>
      <c r="BB56" s="17"/>
      <c r="BC56" s="17"/>
      <c r="BD56" s="20"/>
      <c r="BE56" s="17"/>
      <c r="BF56" s="17"/>
      <c r="BG56" s="17"/>
      <c r="BH56" s="17"/>
      <c r="BI56" s="20"/>
      <c r="BJ56" s="17"/>
      <c r="BK56" s="17"/>
      <c r="BL56" s="17"/>
      <c r="BM56" s="17"/>
      <c r="BN56" s="20"/>
      <c r="BO56" s="17">
        <v>38.1</v>
      </c>
      <c r="BP56" s="17">
        <v>38.5</v>
      </c>
      <c r="BQ56" s="17">
        <v>38</v>
      </c>
      <c r="BR56" s="17">
        <v>39.299999999999997</v>
      </c>
      <c r="BS56" s="20">
        <v>39.299999999999997</v>
      </c>
      <c r="BT56" s="17">
        <v>39.6</v>
      </c>
      <c r="BU56" s="17">
        <v>41.8</v>
      </c>
      <c r="BV56" s="17">
        <v>41.9</v>
      </c>
      <c r="BW56" s="17">
        <v>42.4</v>
      </c>
      <c r="BX56" s="20">
        <v>42.4</v>
      </c>
      <c r="BY56" s="17">
        <v>42.8</v>
      </c>
      <c r="BZ56" s="17">
        <v>44.2</v>
      </c>
      <c r="CA56" s="17">
        <v>43.6</v>
      </c>
      <c r="CB56" s="17">
        <v>44.5</v>
      </c>
      <c r="CC56" s="20">
        <v>44.5</v>
      </c>
      <c r="CD56" s="17">
        <v>45.8</v>
      </c>
      <c r="CE56" s="17">
        <v>44.8</v>
      </c>
      <c r="CF56" s="17">
        <v>44.7</v>
      </c>
      <c r="CG56" s="17">
        <v>49.5</v>
      </c>
      <c r="CH56" s="20">
        <v>49.5</v>
      </c>
      <c r="CI56" s="17">
        <v>55.1</v>
      </c>
      <c r="CJ56" s="17">
        <v>56.3</v>
      </c>
      <c r="CK56" s="17">
        <v>55.9</v>
      </c>
      <c r="CL56" s="17">
        <v>57.3</v>
      </c>
      <c r="CM56" s="20">
        <v>57.3</v>
      </c>
      <c r="CN56" s="17">
        <v>58</v>
      </c>
      <c r="CO56" s="17">
        <v>57.1</v>
      </c>
      <c r="CP56" s="17">
        <v>53.7</v>
      </c>
      <c r="CQ56" s="17">
        <v>53.4</v>
      </c>
      <c r="CR56" s="20">
        <v>53.4</v>
      </c>
      <c r="CS56" s="17">
        <v>52</v>
      </c>
      <c r="CT56" s="17">
        <v>50.9</v>
      </c>
      <c r="CU56" s="17">
        <v>46.3</v>
      </c>
      <c r="CV56" s="17">
        <v>51.5</v>
      </c>
      <c r="CW56" s="20">
        <v>51.5</v>
      </c>
    </row>
    <row r="57" spans="1:101" x14ac:dyDescent="0.2">
      <c r="A57" s="1" t="s">
        <v>123</v>
      </c>
      <c r="B57" s="26"/>
      <c r="C57" s="26"/>
      <c r="D57" s="26"/>
      <c r="E57" s="26"/>
      <c r="F57" s="21">
        <v>357</v>
      </c>
      <c r="G57" s="26"/>
      <c r="H57" s="26"/>
      <c r="I57" s="26"/>
      <c r="J57" s="26"/>
      <c r="K57" s="21">
        <f>274.6+136.3-2.5</f>
        <v>408.40000000000003</v>
      </c>
      <c r="L57" s="26">
        <v>382.8</v>
      </c>
      <c r="M57" s="26">
        <v>389</v>
      </c>
      <c r="N57" s="26">
        <v>381.7</v>
      </c>
      <c r="O57" s="26">
        <v>319.10000000000002</v>
      </c>
      <c r="P57" s="21">
        <v>319.10000000000002</v>
      </c>
      <c r="Q57" s="26">
        <v>306</v>
      </c>
      <c r="R57" s="26">
        <v>293.3</v>
      </c>
      <c r="S57" s="26">
        <v>323.89999999999998</v>
      </c>
      <c r="T57" s="26">
        <v>322.39999999999998</v>
      </c>
      <c r="U57" s="21">
        <v>322.39999999999998</v>
      </c>
      <c r="V57" s="26">
        <v>312.5</v>
      </c>
      <c r="W57" s="26">
        <v>299.7</v>
      </c>
      <c r="X57" s="26">
        <v>308</v>
      </c>
      <c r="Y57" s="26">
        <v>294.39999999999998</v>
      </c>
      <c r="Z57" s="21">
        <v>294.39999999999998</v>
      </c>
      <c r="AA57" s="26">
        <v>281.7</v>
      </c>
      <c r="AB57" s="26">
        <v>293.3</v>
      </c>
      <c r="AC57" s="26">
        <v>327.7</v>
      </c>
      <c r="AD57" s="26">
        <v>326.89999999999998</v>
      </c>
      <c r="AE57" s="21">
        <v>326.89999999999998</v>
      </c>
      <c r="AF57" s="26">
        <v>325.39999999999998</v>
      </c>
      <c r="AG57" s="26">
        <v>358.7</v>
      </c>
      <c r="AH57" s="26">
        <v>301.89999999999998</v>
      </c>
      <c r="AI57" s="26">
        <v>244.1</v>
      </c>
      <c r="AJ57" s="21">
        <v>244.1</v>
      </c>
      <c r="AK57" s="26">
        <v>271.2</v>
      </c>
      <c r="AL57" s="26">
        <v>290.60000000000002</v>
      </c>
      <c r="AM57" s="26">
        <v>311.5</v>
      </c>
      <c r="AN57" s="26">
        <v>309.10000000000002</v>
      </c>
      <c r="AO57" s="21">
        <v>309.10000000000002</v>
      </c>
      <c r="AP57" s="26">
        <v>302.39999999999998</v>
      </c>
      <c r="AQ57" s="26">
        <v>306.8</v>
      </c>
      <c r="AR57" s="26">
        <f>384.4+21.5</f>
        <v>405.9</v>
      </c>
      <c r="AS57" s="26">
        <f>5.4+415.3</f>
        <v>420.7</v>
      </c>
      <c r="AT57" s="21">
        <f>5.4+415.3</f>
        <v>420.7</v>
      </c>
      <c r="AU57" s="26"/>
      <c r="AV57" s="26"/>
      <c r="AW57" s="26"/>
      <c r="AX57" s="26"/>
      <c r="AY57" s="21">
        <v>390.6</v>
      </c>
      <c r="AZ57" s="26"/>
      <c r="BA57" s="26"/>
      <c r="BB57" s="26"/>
      <c r="BC57" s="26"/>
      <c r="BD57" s="21">
        <v>351.9</v>
      </c>
      <c r="BE57" s="26"/>
      <c r="BF57" s="26"/>
      <c r="BG57" s="26"/>
      <c r="BH57" s="26"/>
      <c r="BI57" s="21">
        <v>392.1</v>
      </c>
      <c r="BJ57" s="26"/>
      <c r="BK57" s="26"/>
      <c r="BL57" s="26"/>
      <c r="BM57" s="26"/>
      <c r="BN57" s="21">
        <v>349.1</v>
      </c>
      <c r="BO57" s="26">
        <v>346.3</v>
      </c>
      <c r="BP57" s="26">
        <v>357.6</v>
      </c>
      <c r="BQ57" s="26">
        <v>364.3</v>
      </c>
      <c r="BR57" s="26">
        <v>374.3</v>
      </c>
      <c r="BS57" s="21">
        <v>374.3</v>
      </c>
      <c r="BT57" s="26">
        <v>334.8</v>
      </c>
      <c r="BU57" s="26">
        <v>321.2</v>
      </c>
      <c r="BV57" s="26">
        <v>360.3</v>
      </c>
      <c r="BW57" s="26">
        <v>360.5</v>
      </c>
      <c r="BX57" s="21">
        <v>360.5</v>
      </c>
      <c r="BY57" s="26">
        <v>365.7</v>
      </c>
      <c r="BZ57" s="26">
        <v>400.1</v>
      </c>
      <c r="CA57" s="26">
        <v>386.9</v>
      </c>
      <c r="CB57" s="26">
        <v>376.8</v>
      </c>
      <c r="CC57" s="21">
        <v>376.8</v>
      </c>
      <c r="CD57" s="26">
        <v>382.1</v>
      </c>
      <c r="CE57" s="26">
        <v>383.3</v>
      </c>
      <c r="CF57" s="26">
        <f>400.4</f>
        <v>400.4</v>
      </c>
      <c r="CG57" s="26">
        <v>390.8</v>
      </c>
      <c r="CH57" s="21">
        <v>390.8</v>
      </c>
      <c r="CI57" s="26">
        <v>352.4</v>
      </c>
      <c r="CJ57" s="26">
        <v>383.7</v>
      </c>
      <c r="CK57" s="26">
        <v>410.2</v>
      </c>
      <c r="CL57" s="26">
        <v>361.1</v>
      </c>
      <c r="CM57" s="21">
        <v>361.1</v>
      </c>
      <c r="CN57" s="26">
        <v>330.9</v>
      </c>
      <c r="CO57" s="26">
        <v>288</v>
      </c>
      <c r="CP57" s="26">
        <v>300.89999999999998</v>
      </c>
      <c r="CQ57" s="26">
        <v>294</v>
      </c>
      <c r="CR57" s="21">
        <v>294</v>
      </c>
      <c r="CS57" s="26">
        <v>280.60000000000002</v>
      </c>
      <c r="CT57" s="26">
        <v>281.7</v>
      </c>
      <c r="CU57" s="26">
        <v>261.10000000000002</v>
      </c>
      <c r="CV57" s="26">
        <v>255.4</v>
      </c>
      <c r="CW57" s="21">
        <v>255.4</v>
      </c>
    </row>
    <row r="58" spans="1:101" x14ac:dyDescent="0.2">
      <c r="A58" s="6" t="s">
        <v>131</v>
      </c>
      <c r="B58" s="18"/>
      <c r="C58" s="18"/>
      <c r="D58" s="18"/>
      <c r="E58" s="18"/>
      <c r="F58" s="22">
        <f>SUM(F54:F57)</f>
        <v>617.9</v>
      </c>
      <c r="G58" s="18"/>
      <c r="H58" s="18"/>
      <c r="I58" s="18"/>
      <c r="J58" s="18"/>
      <c r="K58" s="22">
        <f t="shared" ref="K58:Q58" si="201">SUM(K54:K57)</f>
        <v>722.1</v>
      </c>
      <c r="L58" s="18">
        <f t="shared" si="201"/>
        <v>699.2</v>
      </c>
      <c r="M58" s="18">
        <f t="shared" si="201"/>
        <v>679.2</v>
      </c>
      <c r="N58" s="18">
        <f t="shared" si="201"/>
        <v>670.2</v>
      </c>
      <c r="O58" s="18">
        <f t="shared" si="201"/>
        <v>516.80000000000007</v>
      </c>
      <c r="P58" s="22">
        <f t="shared" si="201"/>
        <v>516.80000000000007</v>
      </c>
      <c r="Q58" s="18">
        <f t="shared" si="201"/>
        <v>483</v>
      </c>
      <c r="R58" s="18">
        <f t="shared" ref="R58:Z58" si="202">SUM(R54:R57)</f>
        <v>496.70000000000005</v>
      </c>
      <c r="S58" s="18">
        <f t="shared" si="202"/>
        <v>535.1</v>
      </c>
      <c r="T58" s="18">
        <f t="shared" si="202"/>
        <v>531.9</v>
      </c>
      <c r="U58" s="22">
        <f t="shared" si="202"/>
        <v>531.9</v>
      </c>
      <c r="V58" s="18">
        <f t="shared" si="202"/>
        <v>563.1</v>
      </c>
      <c r="W58" s="18">
        <f t="shared" si="202"/>
        <v>566.59999999999991</v>
      </c>
      <c r="X58" s="18">
        <f t="shared" si="202"/>
        <v>550</v>
      </c>
      <c r="Y58" s="18">
        <f t="shared" si="202"/>
        <v>523</v>
      </c>
      <c r="Z58" s="22">
        <f t="shared" si="202"/>
        <v>523</v>
      </c>
      <c r="AA58" s="18">
        <f t="shared" ref="AA58:AE58" si="203">SUM(AA54:AA57)</f>
        <v>585.70000000000005</v>
      </c>
      <c r="AB58" s="18">
        <f t="shared" si="203"/>
        <v>577.79999999999995</v>
      </c>
      <c r="AC58" s="18">
        <f t="shared" si="203"/>
        <v>604</v>
      </c>
      <c r="AD58" s="18">
        <f t="shared" si="203"/>
        <v>586</v>
      </c>
      <c r="AE58" s="22">
        <f t="shared" si="203"/>
        <v>586</v>
      </c>
      <c r="AF58" s="18">
        <f t="shared" ref="AF58:AJ58" si="204">SUM(AF54:AF57)</f>
        <v>626.09999999999991</v>
      </c>
      <c r="AG58" s="18">
        <f t="shared" si="204"/>
        <v>880.8</v>
      </c>
      <c r="AH58" s="18">
        <f t="shared" si="204"/>
        <v>795.7</v>
      </c>
      <c r="AI58" s="18">
        <f t="shared" si="204"/>
        <v>731</v>
      </c>
      <c r="AJ58" s="22">
        <f t="shared" si="204"/>
        <v>731</v>
      </c>
      <c r="AK58" s="18">
        <f t="shared" ref="AK58:AO58" si="205">SUM(AK54:AK57)</f>
        <v>792.59999999999991</v>
      </c>
      <c r="AL58" s="18">
        <f t="shared" si="205"/>
        <v>630.70000000000005</v>
      </c>
      <c r="AM58" s="18">
        <f t="shared" si="205"/>
        <v>638.79999999999995</v>
      </c>
      <c r="AN58" s="18">
        <f t="shared" si="205"/>
        <v>829.5</v>
      </c>
      <c r="AO58" s="22">
        <f t="shared" si="205"/>
        <v>829.5</v>
      </c>
      <c r="AP58" s="18">
        <f t="shared" ref="AP58:AT58" si="206">SUM(AP54:AP57)</f>
        <v>834</v>
      </c>
      <c r="AQ58" s="18">
        <f t="shared" si="206"/>
        <v>864.8</v>
      </c>
      <c r="AR58" s="18">
        <f t="shared" si="206"/>
        <v>1144.4000000000001</v>
      </c>
      <c r="AS58" s="18">
        <f t="shared" si="206"/>
        <v>992.2</v>
      </c>
      <c r="AT58" s="22">
        <f t="shared" si="206"/>
        <v>992.2</v>
      </c>
      <c r="AU58" s="18"/>
      <c r="AV58" s="18"/>
      <c r="AW58" s="18"/>
      <c r="AX58" s="18"/>
      <c r="AY58" s="22">
        <f t="shared" ref="AY58" si="207">SUM(AY54:AY57)</f>
        <v>701.2</v>
      </c>
      <c r="AZ58" s="18"/>
      <c r="BA58" s="18"/>
      <c r="BB58" s="18"/>
      <c r="BC58" s="18"/>
      <c r="BD58" s="22">
        <f t="shared" ref="BD58" si="208">SUM(BD54:BD57)</f>
        <v>706.5</v>
      </c>
      <c r="BE58" s="18"/>
      <c r="BF58" s="18"/>
      <c r="BG58" s="18"/>
      <c r="BH58" s="18"/>
      <c r="BI58" s="22">
        <f>SUM(BI54:BI57)</f>
        <v>976.2</v>
      </c>
      <c r="BJ58" s="52"/>
      <c r="BK58" s="18"/>
      <c r="BL58" s="18"/>
      <c r="BM58" s="18"/>
      <c r="BN58" s="22">
        <f t="shared" ref="BN58:BR58" si="209">SUM(BN54:BN57)</f>
        <v>815.7</v>
      </c>
      <c r="BO58" s="18">
        <f>SUM(BO54:BO57)</f>
        <v>867</v>
      </c>
      <c r="BP58" s="18">
        <f t="shared" si="209"/>
        <v>900.30000000000007</v>
      </c>
      <c r="BQ58" s="18">
        <f t="shared" si="209"/>
        <v>920.8</v>
      </c>
      <c r="BR58" s="18">
        <f t="shared" si="209"/>
        <v>928.09999999999991</v>
      </c>
      <c r="BS58" s="22">
        <f t="shared" ref="BS58" si="210">SUM(BS54:BS57)</f>
        <v>928.09999999999991</v>
      </c>
      <c r="BT58" s="18">
        <f t="shared" ref="BT58:CC58" si="211">SUM(BT54:BT57)</f>
        <v>854.7</v>
      </c>
      <c r="BU58" s="18">
        <f t="shared" si="211"/>
        <v>775.5</v>
      </c>
      <c r="BV58" s="18">
        <f t="shared" si="211"/>
        <v>947.40000000000009</v>
      </c>
      <c r="BW58" s="18">
        <f t="shared" si="211"/>
        <v>1006</v>
      </c>
      <c r="BX58" s="22">
        <f t="shared" si="211"/>
        <v>1006</v>
      </c>
      <c r="BY58" s="18">
        <f t="shared" si="211"/>
        <v>995.59999999999991</v>
      </c>
      <c r="BZ58" s="18">
        <f t="shared" si="211"/>
        <v>1107.0999999999999</v>
      </c>
      <c r="CA58" s="18">
        <f t="shared" si="211"/>
        <v>1338</v>
      </c>
      <c r="CB58" s="18">
        <f t="shared" si="211"/>
        <v>1335.7</v>
      </c>
      <c r="CC58" s="22">
        <f t="shared" si="211"/>
        <v>1335.7</v>
      </c>
      <c r="CD58" s="18">
        <f t="shared" ref="CD58:CG58" si="212">SUM(CD54:CD57)</f>
        <v>1351.1999999999998</v>
      </c>
      <c r="CE58" s="18">
        <f t="shared" si="212"/>
        <v>1331.3999999999999</v>
      </c>
      <c r="CF58" s="18">
        <f t="shared" si="212"/>
        <v>965</v>
      </c>
      <c r="CG58" s="18">
        <f t="shared" si="212"/>
        <v>968.09999999999991</v>
      </c>
      <c r="CH58" s="22">
        <f t="shared" ref="CH58:CT58" si="213">SUM(CH54:CH57)</f>
        <v>968.09999999999991</v>
      </c>
      <c r="CI58" s="18">
        <f t="shared" si="213"/>
        <v>968.6</v>
      </c>
      <c r="CJ58" s="18">
        <f t="shared" si="213"/>
        <v>955.59999999999991</v>
      </c>
      <c r="CK58" s="18">
        <f t="shared" si="213"/>
        <v>1009.0999999999999</v>
      </c>
      <c r="CL58" s="18">
        <f t="shared" si="213"/>
        <v>1262.5999999999999</v>
      </c>
      <c r="CM58" s="22">
        <f t="shared" ref="CM58:CN58" si="214">SUM(CM54:CM57)</f>
        <v>1262.5999999999999</v>
      </c>
      <c r="CN58" s="18">
        <f t="shared" si="214"/>
        <v>1188.3000000000002</v>
      </c>
      <c r="CO58" s="18">
        <f t="shared" si="213"/>
        <v>1167.9000000000001</v>
      </c>
      <c r="CP58" s="18">
        <f t="shared" si="213"/>
        <v>1171.7</v>
      </c>
      <c r="CQ58" s="18">
        <f t="shared" si="213"/>
        <v>846.4</v>
      </c>
      <c r="CR58" s="22">
        <f t="shared" si="213"/>
        <v>846.4</v>
      </c>
      <c r="CS58" s="18">
        <f t="shared" si="213"/>
        <v>810.4</v>
      </c>
      <c r="CT58" s="18">
        <f t="shared" si="213"/>
        <v>802.3</v>
      </c>
      <c r="CU58" s="18">
        <f t="shared" ref="CU58:CW58" si="215">SUM(CU54:CU57)</f>
        <v>794.1</v>
      </c>
      <c r="CV58" s="18">
        <f t="shared" si="215"/>
        <v>775</v>
      </c>
      <c r="CW58" s="22">
        <f t="shared" si="215"/>
        <v>775</v>
      </c>
    </row>
    <row r="59" spans="1:101" x14ac:dyDescent="0.2">
      <c r="A59" s="1" t="s">
        <v>132</v>
      </c>
      <c r="B59" s="17"/>
      <c r="C59" s="17"/>
      <c r="D59" s="17"/>
      <c r="E59" s="17"/>
      <c r="F59" s="20">
        <v>1059.5999999999999</v>
      </c>
      <c r="G59" s="17"/>
      <c r="H59" s="17"/>
      <c r="I59" s="17"/>
      <c r="J59" s="17"/>
      <c r="K59" s="20">
        <v>1000.6</v>
      </c>
      <c r="L59" s="17">
        <v>1095.8</v>
      </c>
      <c r="M59" s="17">
        <v>1227.9000000000001</v>
      </c>
      <c r="N59" s="17">
        <v>998.2</v>
      </c>
      <c r="O59" s="17">
        <v>851.2</v>
      </c>
      <c r="P59" s="20">
        <v>851.2</v>
      </c>
      <c r="Q59" s="17">
        <v>793.2</v>
      </c>
      <c r="R59" s="17">
        <v>772.8</v>
      </c>
      <c r="S59" s="17">
        <v>772.4</v>
      </c>
      <c r="T59" s="17">
        <v>789.3</v>
      </c>
      <c r="U59" s="20">
        <v>789.3</v>
      </c>
      <c r="V59" s="17">
        <v>822.2</v>
      </c>
      <c r="W59" s="17">
        <v>854.8</v>
      </c>
      <c r="X59" s="17">
        <v>833.5</v>
      </c>
      <c r="Y59" s="17">
        <v>762.2</v>
      </c>
      <c r="Z59" s="20">
        <v>762.2</v>
      </c>
      <c r="AA59" s="17">
        <v>821.9</v>
      </c>
      <c r="AB59" s="17">
        <v>856.6</v>
      </c>
      <c r="AC59" s="17">
        <v>897.3</v>
      </c>
      <c r="AD59" s="17">
        <v>833.3</v>
      </c>
      <c r="AE59" s="20">
        <v>833.3</v>
      </c>
      <c r="AF59" s="17">
        <v>1046.8</v>
      </c>
      <c r="AG59" s="17">
        <v>821</v>
      </c>
      <c r="AH59" s="17">
        <v>860.2</v>
      </c>
      <c r="AI59" s="17">
        <v>853.9</v>
      </c>
      <c r="AJ59" s="20">
        <v>853.9</v>
      </c>
      <c r="AK59" s="17">
        <v>953.8</v>
      </c>
      <c r="AL59" s="17">
        <v>973.9</v>
      </c>
      <c r="AM59" s="17">
        <v>957.5</v>
      </c>
      <c r="AN59" s="17">
        <v>688.4</v>
      </c>
      <c r="AO59" s="20">
        <v>688.4</v>
      </c>
      <c r="AP59" s="17">
        <v>811</v>
      </c>
      <c r="AQ59" s="17">
        <v>926</v>
      </c>
      <c r="AR59" s="17">
        <v>619.20000000000005</v>
      </c>
      <c r="AS59" s="17">
        <v>766.7</v>
      </c>
      <c r="AT59" s="20">
        <v>766.7</v>
      </c>
      <c r="AU59" s="17"/>
      <c r="AV59" s="17"/>
      <c r="AW59" s="17"/>
      <c r="AX59" s="17"/>
      <c r="AY59" s="20">
        <v>941.5</v>
      </c>
      <c r="AZ59" s="17"/>
      <c r="BA59" s="17"/>
      <c r="BB59" s="17"/>
      <c r="BC59" s="17"/>
      <c r="BD59" s="20">
        <v>956.2</v>
      </c>
      <c r="BE59" s="17"/>
      <c r="BF59" s="17"/>
      <c r="BG59" s="17"/>
      <c r="BH59" s="17"/>
      <c r="BI59" s="20">
        <v>1097.9000000000001</v>
      </c>
      <c r="BJ59" s="17"/>
      <c r="BK59" s="17"/>
      <c r="BL59" s="17"/>
      <c r="BM59" s="17"/>
      <c r="BN59" s="20">
        <v>1167.8</v>
      </c>
      <c r="BO59" s="17">
        <v>2409.6</v>
      </c>
      <c r="BP59" s="17">
        <v>2363.5</v>
      </c>
      <c r="BQ59" s="17">
        <v>2197.1</v>
      </c>
      <c r="BR59" s="17">
        <v>2066.5</v>
      </c>
      <c r="BS59" s="20">
        <v>2066.5</v>
      </c>
      <c r="BT59" s="17">
        <v>2415.1999999999998</v>
      </c>
      <c r="BU59" s="17">
        <v>2083.1999999999998</v>
      </c>
      <c r="BV59" s="17">
        <v>1909.1</v>
      </c>
      <c r="BW59" s="17">
        <v>1849.3</v>
      </c>
      <c r="BX59" s="20">
        <v>1849.3</v>
      </c>
      <c r="BY59" s="17">
        <v>1952.9</v>
      </c>
      <c r="BZ59" s="17">
        <v>1974.9</v>
      </c>
      <c r="CA59" s="17">
        <v>1765.6</v>
      </c>
      <c r="CB59" s="17">
        <v>1789.7</v>
      </c>
      <c r="CC59" s="20">
        <v>1789.7</v>
      </c>
      <c r="CD59" s="17">
        <v>1803.1</v>
      </c>
      <c r="CE59" s="17">
        <v>1789.5</v>
      </c>
      <c r="CF59" s="17">
        <v>2133.6</v>
      </c>
      <c r="CG59" s="17">
        <v>2074.1999999999998</v>
      </c>
      <c r="CH59" s="20">
        <v>2074.1999999999998</v>
      </c>
      <c r="CI59" s="17">
        <v>2108.9</v>
      </c>
      <c r="CJ59" s="17">
        <v>2016.4</v>
      </c>
      <c r="CK59" s="17">
        <v>1963</v>
      </c>
      <c r="CL59" s="17">
        <v>1679.6</v>
      </c>
      <c r="CM59" s="20">
        <v>1679.6</v>
      </c>
      <c r="CN59" s="17">
        <v>1772.9</v>
      </c>
      <c r="CO59" s="17">
        <v>1702.1</v>
      </c>
      <c r="CP59" s="17">
        <v>1578.2</v>
      </c>
      <c r="CQ59" s="17">
        <v>1862.8</v>
      </c>
      <c r="CR59" s="20">
        <v>1862.8</v>
      </c>
      <c r="CS59" s="17">
        <v>1935.1</v>
      </c>
      <c r="CT59" s="17">
        <v>1792.2</v>
      </c>
      <c r="CU59" s="17">
        <v>1495.8</v>
      </c>
      <c r="CV59" s="17">
        <v>1496.2</v>
      </c>
      <c r="CW59" s="20">
        <v>1496.2</v>
      </c>
    </row>
    <row r="60" spans="1:101" x14ac:dyDescent="0.2">
      <c r="A60" s="1" t="s">
        <v>133</v>
      </c>
      <c r="B60" s="17"/>
      <c r="C60" s="17"/>
      <c r="D60" s="17"/>
      <c r="E60" s="17"/>
      <c r="F60" s="20"/>
      <c r="G60" s="17"/>
      <c r="H60" s="17"/>
      <c r="I60" s="17"/>
      <c r="J60" s="17"/>
      <c r="K60" s="20"/>
      <c r="L60" s="17"/>
      <c r="M60" s="17"/>
      <c r="N60" s="17"/>
      <c r="O60" s="17"/>
      <c r="P60" s="20"/>
      <c r="Q60" s="17"/>
      <c r="R60" s="17"/>
      <c r="S60" s="17"/>
      <c r="T60" s="17"/>
      <c r="U60" s="20"/>
      <c r="V60" s="17"/>
      <c r="W60" s="17"/>
      <c r="X60" s="17"/>
      <c r="Y60" s="17"/>
      <c r="Z60" s="20"/>
      <c r="AA60" s="17"/>
      <c r="AB60" s="17"/>
      <c r="AC60" s="17"/>
      <c r="AD60" s="17"/>
      <c r="AE60" s="20"/>
      <c r="AF60" s="17"/>
      <c r="AG60" s="17"/>
      <c r="AH60" s="17"/>
      <c r="AI60" s="17"/>
      <c r="AJ60" s="20"/>
      <c r="AK60" s="17"/>
      <c r="AL60" s="17"/>
      <c r="AM60" s="17"/>
      <c r="AN60" s="17"/>
      <c r="AO60" s="20"/>
      <c r="AP60" s="17"/>
      <c r="AQ60" s="17"/>
      <c r="AR60" s="17"/>
      <c r="AS60" s="17"/>
      <c r="AT60" s="20"/>
      <c r="AU60" s="17"/>
      <c r="AV60" s="17"/>
      <c r="AW60" s="17"/>
      <c r="AX60" s="17"/>
      <c r="AY60" s="20"/>
      <c r="AZ60" s="17"/>
      <c r="BA60" s="17"/>
      <c r="BB60" s="17"/>
      <c r="BC60" s="17"/>
      <c r="BD60" s="20"/>
      <c r="BE60" s="17"/>
      <c r="BF60" s="17"/>
      <c r="BG60" s="17"/>
      <c r="BH60" s="17"/>
      <c r="BI60" s="20"/>
      <c r="BJ60" s="17"/>
      <c r="BK60" s="17"/>
      <c r="BL60" s="17"/>
      <c r="BM60" s="17"/>
      <c r="BN60" s="20"/>
      <c r="BO60" s="17">
        <v>119.1</v>
      </c>
      <c r="BP60" s="17">
        <v>131.4</v>
      </c>
      <c r="BQ60" s="17">
        <v>119</v>
      </c>
      <c r="BR60" s="17">
        <v>121.6</v>
      </c>
      <c r="BS60" s="20">
        <v>121.6</v>
      </c>
      <c r="BT60" s="17">
        <v>117.9</v>
      </c>
      <c r="BU60" s="17">
        <v>128.6</v>
      </c>
      <c r="BV60" s="17">
        <v>125.3</v>
      </c>
      <c r="BW60" s="17">
        <v>122.1</v>
      </c>
      <c r="BX60" s="20">
        <v>122.1</v>
      </c>
      <c r="BY60" s="17">
        <v>115.4</v>
      </c>
      <c r="BZ60" s="17">
        <v>126.7</v>
      </c>
      <c r="CA60" s="17">
        <v>149.1</v>
      </c>
      <c r="CB60" s="17">
        <v>153</v>
      </c>
      <c r="CC60" s="20">
        <v>153</v>
      </c>
      <c r="CD60" s="17">
        <v>150</v>
      </c>
      <c r="CE60" s="17">
        <v>149.5</v>
      </c>
      <c r="CF60" s="17">
        <v>151.1</v>
      </c>
      <c r="CG60" s="17">
        <v>153.6</v>
      </c>
      <c r="CH60" s="20">
        <v>153.6</v>
      </c>
      <c r="CI60" s="17">
        <v>175.9</v>
      </c>
      <c r="CJ60" s="17">
        <v>167.2</v>
      </c>
      <c r="CK60" s="17">
        <v>156.5</v>
      </c>
      <c r="CL60" s="17">
        <v>150.5</v>
      </c>
      <c r="CM60" s="20">
        <v>150.5</v>
      </c>
      <c r="CN60" s="17">
        <v>158.5</v>
      </c>
      <c r="CO60" s="17">
        <v>148.69999999999999</v>
      </c>
      <c r="CP60" s="17">
        <v>143.30000000000001</v>
      </c>
      <c r="CQ60" s="17">
        <v>131.1</v>
      </c>
      <c r="CR60" s="20">
        <v>131.1</v>
      </c>
      <c r="CS60" s="17">
        <v>119.3</v>
      </c>
      <c r="CT60" s="17">
        <v>111.2</v>
      </c>
      <c r="CU60" s="17">
        <v>120</v>
      </c>
      <c r="CV60" s="17">
        <v>106.7</v>
      </c>
      <c r="CW60" s="20">
        <v>106.7</v>
      </c>
    </row>
    <row r="61" spans="1:101" x14ac:dyDescent="0.2">
      <c r="A61" s="1" t="s">
        <v>134</v>
      </c>
      <c r="B61" s="17"/>
      <c r="C61" s="17"/>
      <c r="D61" s="17"/>
      <c r="E61" s="17"/>
      <c r="F61" s="20">
        <v>162.4</v>
      </c>
      <c r="G61" s="17"/>
      <c r="H61" s="17"/>
      <c r="I61" s="17"/>
      <c r="J61" s="17"/>
      <c r="K61" s="20">
        <f>96.3+42.3</f>
        <v>138.6</v>
      </c>
      <c r="L61" s="17">
        <v>146.9</v>
      </c>
      <c r="M61" s="17">
        <v>164.4</v>
      </c>
      <c r="N61" s="17">
        <v>146.9</v>
      </c>
      <c r="O61" s="17">
        <v>133.5</v>
      </c>
      <c r="P61" s="20">
        <v>133.5</v>
      </c>
      <c r="Q61" s="17">
        <v>117.3</v>
      </c>
      <c r="R61" s="17">
        <v>128.5</v>
      </c>
      <c r="S61" s="17">
        <v>155</v>
      </c>
      <c r="T61" s="17">
        <v>161.30000000000001</v>
      </c>
      <c r="U61" s="20">
        <v>161.30000000000001</v>
      </c>
      <c r="V61" s="17">
        <v>162.30000000000001</v>
      </c>
      <c r="W61" s="17">
        <v>164.6</v>
      </c>
      <c r="X61" s="17">
        <v>180.4</v>
      </c>
      <c r="Y61" s="17">
        <v>191.4</v>
      </c>
      <c r="Z61" s="20">
        <v>191.4</v>
      </c>
      <c r="AA61" s="17">
        <v>201.5</v>
      </c>
      <c r="AB61" s="17">
        <v>205.6</v>
      </c>
      <c r="AC61" s="17">
        <v>182.9</v>
      </c>
      <c r="AD61" s="17">
        <v>188.1</v>
      </c>
      <c r="AE61" s="20">
        <v>188.1</v>
      </c>
      <c r="AF61" s="17">
        <v>196.6</v>
      </c>
      <c r="AG61" s="17">
        <v>191.3</v>
      </c>
      <c r="AH61" s="17">
        <v>189.2</v>
      </c>
      <c r="AI61" s="17">
        <v>227.8</v>
      </c>
      <c r="AJ61" s="20">
        <v>227.8</v>
      </c>
      <c r="AK61" s="17">
        <v>241.6</v>
      </c>
      <c r="AL61" s="17">
        <v>240.4</v>
      </c>
      <c r="AM61" s="17">
        <v>245.1</v>
      </c>
      <c r="AN61" s="17">
        <v>191</v>
      </c>
      <c r="AO61" s="20">
        <v>191</v>
      </c>
      <c r="AP61" s="17">
        <v>205.6</v>
      </c>
      <c r="AQ61" s="17">
        <v>190.2</v>
      </c>
      <c r="AR61" s="17">
        <v>192.5</v>
      </c>
      <c r="AS61" s="17">
        <v>226.8</v>
      </c>
      <c r="AT61" s="20">
        <v>226.8</v>
      </c>
      <c r="AU61" s="17"/>
      <c r="AV61" s="17"/>
      <c r="AW61" s="17"/>
      <c r="AX61" s="17"/>
      <c r="AY61" s="20">
        <f>44+184.7</f>
        <v>228.7</v>
      </c>
      <c r="AZ61" s="17"/>
      <c r="BA61" s="17"/>
      <c r="BB61" s="17"/>
      <c r="BC61" s="17"/>
      <c r="BD61" s="20">
        <f>64.8+173</f>
        <v>237.8</v>
      </c>
      <c r="BE61" s="17"/>
      <c r="BF61" s="17"/>
      <c r="BG61" s="17"/>
      <c r="BH61" s="17"/>
      <c r="BI61" s="20">
        <f>93.6+61.9+141</f>
        <v>296.5</v>
      </c>
      <c r="BJ61" s="17"/>
      <c r="BK61" s="17"/>
      <c r="BL61" s="17"/>
      <c r="BM61" s="17"/>
      <c r="BN61" s="20">
        <f>102+32.2+123.1</f>
        <v>257.29999999999995</v>
      </c>
      <c r="BO61" s="17">
        <v>379.4</v>
      </c>
      <c r="BP61" s="17">
        <v>382.2</v>
      </c>
      <c r="BQ61" s="17">
        <v>378</v>
      </c>
      <c r="BR61" s="17">
        <v>397.3</v>
      </c>
      <c r="BS61" s="20">
        <v>397.3</v>
      </c>
      <c r="BT61" s="17">
        <v>364.59999999999997</v>
      </c>
      <c r="BU61" s="17">
        <v>389.2</v>
      </c>
      <c r="BV61" s="17">
        <v>391.70000000000005</v>
      </c>
      <c r="BW61" s="17">
        <v>397.5</v>
      </c>
      <c r="BX61" s="20">
        <v>397.5</v>
      </c>
      <c r="BY61" s="17">
        <f>209.3+28.5+153.7</f>
        <v>391.5</v>
      </c>
      <c r="BZ61" s="17">
        <v>405.4</v>
      </c>
      <c r="CA61" s="17">
        <v>404.8</v>
      </c>
      <c r="CB61" s="17">
        <v>380.3</v>
      </c>
      <c r="CC61" s="20">
        <v>380.3</v>
      </c>
      <c r="CD61" s="17">
        <v>366.1</v>
      </c>
      <c r="CE61" s="17">
        <v>345.6</v>
      </c>
      <c r="CF61" s="17">
        <v>362.7</v>
      </c>
      <c r="CG61" s="17">
        <v>348.8</v>
      </c>
      <c r="CH61" s="20">
        <v>348.8</v>
      </c>
      <c r="CI61" s="17">
        <v>349.5</v>
      </c>
      <c r="CJ61" s="17">
        <v>336.5</v>
      </c>
      <c r="CK61" s="17">
        <v>313.10000000000002</v>
      </c>
      <c r="CL61" s="17">
        <v>207.8</v>
      </c>
      <c r="CM61" s="20">
        <v>207.8</v>
      </c>
      <c r="CN61" s="17">
        <v>205.6</v>
      </c>
      <c r="CO61" s="17">
        <v>151.80000000000001</v>
      </c>
      <c r="CP61" s="17">
        <v>145.1</v>
      </c>
      <c r="CQ61" s="17">
        <v>131.1</v>
      </c>
      <c r="CR61" s="20">
        <v>131.1</v>
      </c>
      <c r="CS61" s="17">
        <v>136.5</v>
      </c>
      <c r="CT61" s="17">
        <v>142.19999999999999</v>
      </c>
      <c r="CU61" s="17">
        <v>142.69999999999999</v>
      </c>
      <c r="CV61" s="17">
        <v>135.9</v>
      </c>
      <c r="CW61" s="20">
        <v>135.9</v>
      </c>
    </row>
    <row r="62" spans="1:101" x14ac:dyDescent="0.2">
      <c r="A62" s="1" t="s">
        <v>135</v>
      </c>
      <c r="B62" s="26"/>
      <c r="C62" s="26"/>
      <c r="D62" s="26"/>
      <c r="E62" s="26"/>
      <c r="F62" s="21">
        <v>1659.9</v>
      </c>
      <c r="G62" s="26"/>
      <c r="H62" s="26"/>
      <c r="I62" s="26"/>
      <c r="J62" s="26"/>
      <c r="K62" s="21">
        <v>1634.6</v>
      </c>
      <c r="L62" s="26">
        <f>2087.2-503</f>
        <v>1584.1999999999998</v>
      </c>
      <c r="M62" s="26">
        <f>2080.6-499</f>
        <v>1581.6</v>
      </c>
      <c r="N62" s="26">
        <f>1899.5-91.1</f>
        <v>1808.4</v>
      </c>
      <c r="O62" s="26">
        <v>1599.2</v>
      </c>
      <c r="P62" s="21">
        <v>1599.2</v>
      </c>
      <c r="Q62" s="26">
        <v>1571.5</v>
      </c>
      <c r="R62" s="26">
        <v>1613.7</v>
      </c>
      <c r="S62" s="26">
        <v>1572.2</v>
      </c>
      <c r="T62" s="26">
        <v>1535.1</v>
      </c>
      <c r="U62" s="21">
        <v>1535.1</v>
      </c>
      <c r="V62" s="26">
        <v>1499</v>
      </c>
      <c r="W62" s="26">
        <v>1447.3</v>
      </c>
      <c r="X62" s="26">
        <v>1490.7</v>
      </c>
      <c r="Y62" s="26">
        <v>1524.4</v>
      </c>
      <c r="Z62" s="21">
        <v>1524.2</v>
      </c>
      <c r="AA62" s="26">
        <v>1457.8</v>
      </c>
      <c r="AB62" s="26">
        <v>1454.7</v>
      </c>
      <c r="AC62" s="26">
        <v>1338.1</v>
      </c>
      <c r="AD62" s="26">
        <v>1307.7</v>
      </c>
      <c r="AE62" s="21">
        <v>1307.7</v>
      </c>
      <c r="AF62" s="26">
        <v>1343.2</v>
      </c>
      <c r="AG62" s="26">
        <v>1347</v>
      </c>
      <c r="AH62" s="26">
        <v>1400.8</v>
      </c>
      <c r="AI62" s="26">
        <v>1442.2</v>
      </c>
      <c r="AJ62" s="21">
        <v>1442.2</v>
      </c>
      <c r="AK62" s="26">
        <v>1439.9</v>
      </c>
      <c r="AL62" s="26">
        <v>1433.7</v>
      </c>
      <c r="AM62" s="26">
        <v>1463.7</v>
      </c>
      <c r="AN62" s="26">
        <v>1399.2</v>
      </c>
      <c r="AO62" s="21">
        <v>1399.2</v>
      </c>
      <c r="AP62" s="26">
        <v>1370.9</v>
      </c>
      <c r="AQ62" s="26">
        <v>1262.4000000000001</v>
      </c>
      <c r="AR62" s="26">
        <v>1228.5999999999999</v>
      </c>
      <c r="AS62" s="26">
        <v>1154.9000000000001</v>
      </c>
      <c r="AT62" s="21">
        <v>1154.9000000000001</v>
      </c>
      <c r="AU62" s="26"/>
      <c r="AV62" s="26"/>
      <c r="AW62" s="26"/>
      <c r="AX62" s="26"/>
      <c r="AY62" s="21">
        <v>1106.4000000000001</v>
      </c>
      <c r="AZ62" s="26"/>
      <c r="BA62" s="26"/>
      <c r="BB62" s="26"/>
      <c r="BC62" s="26"/>
      <c r="BD62" s="21">
        <v>1111.3</v>
      </c>
      <c r="BE62" s="26"/>
      <c r="BF62" s="26"/>
      <c r="BG62" s="26"/>
      <c r="BH62" s="26"/>
      <c r="BI62" s="21">
        <v>1222.4000000000001</v>
      </c>
      <c r="BJ62" s="26"/>
      <c r="BK62" s="26"/>
      <c r="BL62" s="26"/>
      <c r="BM62" s="26"/>
      <c r="BN62" s="21">
        <v>1206.2</v>
      </c>
      <c r="BO62" s="26">
        <v>1245.4000000000001</v>
      </c>
      <c r="BP62" s="26">
        <v>1281.9000000000001</v>
      </c>
      <c r="BQ62" s="26">
        <v>1294.2</v>
      </c>
      <c r="BR62" s="26">
        <v>1341.9</v>
      </c>
      <c r="BS62" s="21">
        <v>1341.9</v>
      </c>
      <c r="BT62" s="26">
        <v>1266.4000000000001</v>
      </c>
      <c r="BU62" s="26">
        <v>1242.4000000000001</v>
      </c>
      <c r="BV62" s="26">
        <v>1330</v>
      </c>
      <c r="BW62" s="26">
        <v>1425.1</v>
      </c>
      <c r="BX62" s="21">
        <v>1425.1</v>
      </c>
      <c r="BY62" s="26">
        <v>1455.7</v>
      </c>
      <c r="BZ62" s="26">
        <v>1536</v>
      </c>
      <c r="CA62" s="26">
        <v>1577.6</v>
      </c>
      <c r="CB62" s="26">
        <v>1648.6</v>
      </c>
      <c r="CC62" s="21">
        <v>1648.6</v>
      </c>
      <c r="CD62" s="26">
        <v>1671.4</v>
      </c>
      <c r="CE62" s="26">
        <v>1614.6</v>
      </c>
      <c r="CF62" s="26">
        <v>1562.8</v>
      </c>
      <c r="CG62" s="26">
        <v>1641.4</v>
      </c>
      <c r="CH62" s="21">
        <v>1641.4</v>
      </c>
      <c r="CI62" s="26">
        <v>1667.1</v>
      </c>
      <c r="CJ62" s="26">
        <v>1668.6</v>
      </c>
      <c r="CK62" s="26">
        <v>1635.9</v>
      </c>
      <c r="CL62" s="26">
        <v>1334</v>
      </c>
      <c r="CM62" s="21">
        <v>1334</v>
      </c>
      <c r="CN62" s="26">
        <v>1289.5</v>
      </c>
      <c r="CO62" s="26">
        <v>668.3</v>
      </c>
      <c r="CP62" s="26">
        <v>741.8</v>
      </c>
      <c r="CQ62" s="26">
        <v>690.2</v>
      </c>
      <c r="CR62" s="21">
        <v>690.2</v>
      </c>
      <c r="CS62" s="26">
        <v>747.6</v>
      </c>
      <c r="CT62" s="26">
        <v>855.8</v>
      </c>
      <c r="CU62" s="26">
        <v>972.4</v>
      </c>
      <c r="CV62" s="26">
        <v>1022.6</v>
      </c>
      <c r="CW62" s="21">
        <v>1022.6</v>
      </c>
    </row>
    <row r="63" spans="1:101" x14ac:dyDescent="0.2">
      <c r="A63" s="6" t="s">
        <v>136</v>
      </c>
      <c r="B63" s="18"/>
      <c r="C63" s="18"/>
      <c r="D63" s="18"/>
      <c r="E63" s="18"/>
      <c r="F63" s="22">
        <f>SUM(F59:F62)</f>
        <v>2881.9</v>
      </c>
      <c r="G63" s="18"/>
      <c r="H63" s="18"/>
      <c r="I63" s="18"/>
      <c r="J63" s="18"/>
      <c r="K63" s="22">
        <f t="shared" ref="K63:Q63" si="216">SUM(K59:K62)</f>
        <v>2773.8</v>
      </c>
      <c r="L63" s="18">
        <f t="shared" si="216"/>
        <v>2826.8999999999996</v>
      </c>
      <c r="M63" s="18">
        <f t="shared" si="216"/>
        <v>2973.9</v>
      </c>
      <c r="N63" s="18">
        <f t="shared" si="216"/>
        <v>2953.5</v>
      </c>
      <c r="O63" s="18">
        <f t="shared" si="216"/>
        <v>2583.9</v>
      </c>
      <c r="P63" s="22">
        <f t="shared" si="216"/>
        <v>2583.9</v>
      </c>
      <c r="Q63" s="18">
        <f t="shared" si="216"/>
        <v>2482</v>
      </c>
      <c r="R63" s="18">
        <f t="shared" ref="R63:Z63" si="217">SUM(R59:R62)</f>
        <v>2515</v>
      </c>
      <c r="S63" s="18">
        <f t="shared" si="217"/>
        <v>2499.6</v>
      </c>
      <c r="T63" s="18">
        <f t="shared" si="217"/>
        <v>2485.6999999999998</v>
      </c>
      <c r="U63" s="22">
        <f t="shared" si="217"/>
        <v>2485.6999999999998</v>
      </c>
      <c r="V63" s="18">
        <f t="shared" si="217"/>
        <v>2483.5</v>
      </c>
      <c r="W63" s="18">
        <f t="shared" si="217"/>
        <v>2466.6999999999998</v>
      </c>
      <c r="X63" s="18">
        <f t="shared" si="217"/>
        <v>2504.6</v>
      </c>
      <c r="Y63" s="18">
        <f t="shared" si="217"/>
        <v>2478</v>
      </c>
      <c r="Z63" s="22">
        <f t="shared" si="217"/>
        <v>2477.8000000000002</v>
      </c>
      <c r="AA63" s="18">
        <f t="shared" ref="AA63:AE63" si="218">SUM(AA59:AA62)</f>
        <v>2481.1999999999998</v>
      </c>
      <c r="AB63" s="18">
        <f t="shared" si="218"/>
        <v>2516.9</v>
      </c>
      <c r="AC63" s="18">
        <f t="shared" si="218"/>
        <v>2418.3000000000002</v>
      </c>
      <c r="AD63" s="18">
        <f t="shared" si="218"/>
        <v>2329.1</v>
      </c>
      <c r="AE63" s="22">
        <f t="shared" si="218"/>
        <v>2329.1</v>
      </c>
      <c r="AF63" s="18">
        <f t="shared" ref="AF63:AJ63" si="219">SUM(AF59:AF62)</f>
        <v>2586.6</v>
      </c>
      <c r="AG63" s="18">
        <f t="shared" si="219"/>
        <v>2359.3000000000002</v>
      </c>
      <c r="AH63" s="18">
        <f t="shared" si="219"/>
        <v>2450.1999999999998</v>
      </c>
      <c r="AI63" s="18">
        <f t="shared" si="219"/>
        <v>2523.9</v>
      </c>
      <c r="AJ63" s="22">
        <f t="shared" si="219"/>
        <v>2523.9</v>
      </c>
      <c r="AK63" s="18">
        <f t="shared" ref="AK63:AO63" si="220">SUM(AK59:AK62)</f>
        <v>2635.3</v>
      </c>
      <c r="AL63" s="18">
        <f t="shared" si="220"/>
        <v>2648</v>
      </c>
      <c r="AM63" s="18">
        <f t="shared" si="220"/>
        <v>2666.3</v>
      </c>
      <c r="AN63" s="18">
        <f t="shared" si="220"/>
        <v>2278.6</v>
      </c>
      <c r="AO63" s="22">
        <f t="shared" si="220"/>
        <v>2278.6</v>
      </c>
      <c r="AP63" s="18">
        <f t="shared" ref="AP63:AT63" si="221">SUM(AP59:AP62)</f>
        <v>2387.5</v>
      </c>
      <c r="AQ63" s="18">
        <f t="shared" si="221"/>
        <v>2378.6000000000004</v>
      </c>
      <c r="AR63" s="18">
        <f t="shared" si="221"/>
        <v>2040.3</v>
      </c>
      <c r="AS63" s="18">
        <f t="shared" si="221"/>
        <v>2148.4</v>
      </c>
      <c r="AT63" s="22">
        <f t="shared" si="221"/>
        <v>2148.4</v>
      </c>
      <c r="AU63" s="18"/>
      <c r="AV63" s="18"/>
      <c r="AW63" s="18"/>
      <c r="AX63" s="18"/>
      <c r="AY63" s="22">
        <f t="shared" ref="AY63" si="222">SUM(AY59:AY62)</f>
        <v>2276.6000000000004</v>
      </c>
      <c r="AZ63" s="18"/>
      <c r="BA63" s="18"/>
      <c r="BB63" s="18"/>
      <c r="BC63" s="18"/>
      <c r="BD63" s="22">
        <f t="shared" ref="BD63" si="223">SUM(BD59:BD62)</f>
        <v>2305.3000000000002</v>
      </c>
      <c r="BE63" s="18"/>
      <c r="BF63" s="18"/>
      <c r="BG63" s="18"/>
      <c r="BH63" s="18"/>
      <c r="BI63" s="22">
        <f>SUM(BI59:BI62)</f>
        <v>2616.8000000000002</v>
      </c>
      <c r="BJ63" s="52"/>
      <c r="BK63" s="18"/>
      <c r="BL63" s="18"/>
      <c r="BM63" s="18"/>
      <c r="BN63" s="22">
        <f t="shared" ref="BN63" si="224">SUM(BN59:BN62)</f>
        <v>2631.3</v>
      </c>
      <c r="BO63" s="18">
        <f>SUM(BO59:BO62)</f>
        <v>4153.5</v>
      </c>
      <c r="BP63" s="18">
        <f t="shared" ref="BP63:BR63" si="225">SUM(BP59:BP62)</f>
        <v>4159</v>
      </c>
      <c r="BQ63" s="18">
        <f t="shared" si="225"/>
        <v>3988.3</v>
      </c>
      <c r="BR63" s="18">
        <f t="shared" si="225"/>
        <v>3927.3</v>
      </c>
      <c r="BS63" s="22">
        <f t="shared" ref="BS63" si="226">SUM(BS59:BS62)</f>
        <v>3927.3</v>
      </c>
      <c r="BT63" s="18">
        <f t="shared" ref="BT63:BY63" si="227">SUM(BT59:BT62)</f>
        <v>4164.1000000000004</v>
      </c>
      <c r="BU63" s="18">
        <f t="shared" si="227"/>
        <v>3843.3999999999996</v>
      </c>
      <c r="BV63" s="18">
        <f t="shared" si="227"/>
        <v>3756.1</v>
      </c>
      <c r="BW63" s="18">
        <f t="shared" si="227"/>
        <v>3793.9999999999995</v>
      </c>
      <c r="BX63" s="22">
        <f t="shared" si="227"/>
        <v>3793.9999999999995</v>
      </c>
      <c r="BY63" s="18">
        <f t="shared" si="227"/>
        <v>3915.5</v>
      </c>
      <c r="BZ63" s="18">
        <f t="shared" ref="BZ63:CD63" si="228">SUM(BZ59:BZ62)</f>
        <v>4043</v>
      </c>
      <c r="CA63" s="18">
        <f t="shared" si="228"/>
        <v>3897.1</v>
      </c>
      <c r="CB63" s="18">
        <f t="shared" si="228"/>
        <v>3971.6</v>
      </c>
      <c r="CC63" s="22">
        <f t="shared" si="228"/>
        <v>3971.6</v>
      </c>
      <c r="CD63" s="18">
        <f t="shared" si="228"/>
        <v>3990.6</v>
      </c>
      <c r="CE63" s="18">
        <f t="shared" ref="CE63" si="229">SUM(CE59:CE62)</f>
        <v>3899.2</v>
      </c>
      <c r="CF63" s="18">
        <f>SUM(CF59:CF62)</f>
        <v>4210.2</v>
      </c>
      <c r="CG63" s="18">
        <f>SUM(CG59:CG62)</f>
        <v>4218</v>
      </c>
      <c r="CH63" s="22">
        <f>SUM(CH59:CH62)</f>
        <v>4218</v>
      </c>
      <c r="CI63" s="18">
        <f t="shared" ref="CI63:CJ63" si="230">SUM(CI59:CI62)</f>
        <v>4301.3999999999996</v>
      </c>
      <c r="CJ63" s="18">
        <f t="shared" si="230"/>
        <v>4188.7</v>
      </c>
      <c r="CK63" s="18">
        <f t="shared" ref="CK63:CL63" si="231">SUM(CK59:CK62)</f>
        <v>4068.5</v>
      </c>
      <c r="CL63" s="18">
        <f t="shared" si="231"/>
        <v>3371.8999999999996</v>
      </c>
      <c r="CM63" s="22">
        <f t="shared" ref="CM63:CQ63" si="232">SUM(CM59:CM62)</f>
        <v>3371.8999999999996</v>
      </c>
      <c r="CN63" s="18">
        <f t="shared" si="232"/>
        <v>3426.5</v>
      </c>
      <c r="CO63" s="18">
        <f t="shared" si="232"/>
        <v>2670.8999999999996</v>
      </c>
      <c r="CP63" s="18">
        <f t="shared" si="232"/>
        <v>2608.3999999999996</v>
      </c>
      <c r="CQ63" s="18">
        <f t="shared" si="232"/>
        <v>2815.2</v>
      </c>
      <c r="CR63" s="22">
        <f t="shared" ref="CR63:CW63" si="233">SUM(CR59:CR62)</f>
        <v>2815.2</v>
      </c>
      <c r="CS63" s="18">
        <f t="shared" si="233"/>
        <v>2938.5</v>
      </c>
      <c r="CT63" s="18">
        <f t="shared" si="233"/>
        <v>2901.4</v>
      </c>
      <c r="CU63" s="18">
        <f t="shared" si="233"/>
        <v>2730.9</v>
      </c>
      <c r="CV63" s="18">
        <f t="shared" si="233"/>
        <v>2761.4</v>
      </c>
      <c r="CW63" s="22">
        <f t="shared" si="233"/>
        <v>2761.4</v>
      </c>
    </row>
    <row r="64" spans="1:101" ht="12.75" thickBot="1" x14ac:dyDescent="0.25">
      <c r="A64" s="6" t="s">
        <v>137</v>
      </c>
      <c r="B64" s="18"/>
      <c r="C64" s="18"/>
      <c r="D64" s="18"/>
      <c r="E64" s="18"/>
      <c r="F64" s="27">
        <f>+F58+F63</f>
        <v>3499.8</v>
      </c>
      <c r="G64" s="18"/>
      <c r="H64" s="18"/>
      <c r="I64" s="18"/>
      <c r="J64" s="18"/>
      <c r="K64" s="27">
        <f t="shared" ref="K64:Q64" si="234">+K58+K63</f>
        <v>3495.9</v>
      </c>
      <c r="L64" s="18">
        <f t="shared" si="234"/>
        <v>3526.0999999999995</v>
      </c>
      <c r="M64" s="18">
        <f t="shared" si="234"/>
        <v>3653.1000000000004</v>
      </c>
      <c r="N64" s="18">
        <f t="shared" si="234"/>
        <v>3623.7</v>
      </c>
      <c r="O64" s="18">
        <f t="shared" si="234"/>
        <v>3100.7000000000003</v>
      </c>
      <c r="P64" s="27">
        <f t="shared" si="234"/>
        <v>3100.7000000000003</v>
      </c>
      <c r="Q64" s="18">
        <f t="shared" si="234"/>
        <v>2965</v>
      </c>
      <c r="R64" s="18">
        <f t="shared" ref="R64:Z64" si="235">+R58+R63</f>
        <v>3011.7</v>
      </c>
      <c r="S64" s="18">
        <f t="shared" si="235"/>
        <v>3034.7</v>
      </c>
      <c r="T64" s="18">
        <f t="shared" si="235"/>
        <v>3017.6</v>
      </c>
      <c r="U64" s="27">
        <f t="shared" si="235"/>
        <v>3017.6</v>
      </c>
      <c r="V64" s="18">
        <f t="shared" si="235"/>
        <v>3046.6</v>
      </c>
      <c r="W64" s="18">
        <f t="shared" si="235"/>
        <v>3033.2999999999997</v>
      </c>
      <c r="X64" s="18">
        <f t="shared" si="235"/>
        <v>3054.6</v>
      </c>
      <c r="Y64" s="18">
        <f t="shared" si="235"/>
        <v>3001</v>
      </c>
      <c r="Z64" s="27">
        <f t="shared" si="235"/>
        <v>3000.8</v>
      </c>
      <c r="AA64" s="18">
        <f t="shared" ref="AA64:AE64" si="236">+AA58+AA63</f>
        <v>3066.8999999999996</v>
      </c>
      <c r="AB64" s="18">
        <f t="shared" si="236"/>
        <v>3094.7</v>
      </c>
      <c r="AC64" s="18">
        <f t="shared" si="236"/>
        <v>3022.3</v>
      </c>
      <c r="AD64" s="18">
        <f t="shared" si="236"/>
        <v>2915.1</v>
      </c>
      <c r="AE64" s="27">
        <f t="shared" si="236"/>
        <v>2915.1</v>
      </c>
      <c r="AF64" s="18">
        <f t="shared" ref="AF64:AJ64" si="237">+AF58+AF63</f>
        <v>3212.7</v>
      </c>
      <c r="AG64" s="18">
        <f t="shared" si="237"/>
        <v>3240.1000000000004</v>
      </c>
      <c r="AH64" s="18">
        <f t="shared" si="237"/>
        <v>3245.8999999999996</v>
      </c>
      <c r="AI64" s="18">
        <f t="shared" si="237"/>
        <v>3254.9</v>
      </c>
      <c r="AJ64" s="27">
        <f t="shared" si="237"/>
        <v>3254.9</v>
      </c>
      <c r="AK64" s="18">
        <f t="shared" ref="AK64:AO64" si="238">+AK58+AK63</f>
        <v>3427.9</v>
      </c>
      <c r="AL64" s="18">
        <f t="shared" si="238"/>
        <v>3278.7</v>
      </c>
      <c r="AM64" s="18">
        <f t="shared" si="238"/>
        <v>3305.1000000000004</v>
      </c>
      <c r="AN64" s="18">
        <f t="shared" si="238"/>
        <v>3108.1</v>
      </c>
      <c r="AO64" s="27">
        <f t="shared" si="238"/>
        <v>3108.1</v>
      </c>
      <c r="AP64" s="18">
        <f t="shared" ref="AP64:AT64" si="239">+AP58+AP63</f>
        <v>3221.5</v>
      </c>
      <c r="AQ64" s="18">
        <f t="shared" si="239"/>
        <v>3243.4000000000005</v>
      </c>
      <c r="AR64" s="18">
        <f t="shared" si="239"/>
        <v>3184.7</v>
      </c>
      <c r="AS64" s="18">
        <f t="shared" si="239"/>
        <v>3140.6000000000004</v>
      </c>
      <c r="AT64" s="27">
        <f t="shared" si="239"/>
        <v>3140.6000000000004</v>
      </c>
      <c r="AU64" s="18"/>
      <c r="AV64" s="18"/>
      <c r="AW64" s="18"/>
      <c r="AX64" s="18"/>
      <c r="AY64" s="27">
        <f t="shared" ref="AY64" si="240">+AY58+AY63</f>
        <v>2977.8</v>
      </c>
      <c r="AZ64" s="18"/>
      <c r="BA64" s="18"/>
      <c r="BB64" s="18"/>
      <c r="BC64" s="18"/>
      <c r="BD64" s="27">
        <f t="shared" ref="BD64" si="241">+BD58+BD63</f>
        <v>3011.8</v>
      </c>
      <c r="BE64" s="18"/>
      <c r="BF64" s="18"/>
      <c r="BG64" s="18"/>
      <c r="BH64" s="18"/>
      <c r="BI64" s="27">
        <f>SUM(BI58,BI63)</f>
        <v>3593</v>
      </c>
      <c r="BJ64" s="52"/>
      <c r="BK64" s="18"/>
      <c r="BL64" s="18"/>
      <c r="BM64" s="18"/>
      <c r="BN64" s="27">
        <f>+BN58+BN63</f>
        <v>3447</v>
      </c>
      <c r="BO64" s="18">
        <f t="shared" ref="BO64" si="242">+BO58+BO63</f>
        <v>5020.5</v>
      </c>
      <c r="BP64" s="18">
        <f t="shared" ref="BP64:BR64" si="243">+BP58+BP63</f>
        <v>5059.3</v>
      </c>
      <c r="BQ64" s="18">
        <f t="shared" si="243"/>
        <v>4909.1000000000004</v>
      </c>
      <c r="BR64" s="18">
        <f t="shared" si="243"/>
        <v>4855.3999999999996</v>
      </c>
      <c r="BS64" s="27">
        <f t="shared" ref="BS64" si="244">+BS58+BS63</f>
        <v>4855.3999999999996</v>
      </c>
      <c r="BT64" s="18">
        <f t="shared" ref="BT64" si="245">+BT58+BT63</f>
        <v>5018.8</v>
      </c>
      <c r="BU64" s="18">
        <f t="shared" ref="BU64:BW64" si="246">+BU58+BU63</f>
        <v>4618.8999999999996</v>
      </c>
      <c r="BV64" s="18">
        <f t="shared" si="246"/>
        <v>4703.5</v>
      </c>
      <c r="BW64" s="18">
        <f t="shared" si="246"/>
        <v>4800</v>
      </c>
      <c r="BX64" s="27">
        <f t="shared" ref="BX64:BY64" si="247">+BX58+BX63</f>
        <v>4800</v>
      </c>
      <c r="BY64" s="18">
        <f t="shared" si="247"/>
        <v>4911.1000000000004</v>
      </c>
      <c r="BZ64" s="18">
        <f t="shared" ref="BZ64:CD64" si="248">+BZ58+BZ63</f>
        <v>5150.1000000000004</v>
      </c>
      <c r="CA64" s="18">
        <f t="shared" si="248"/>
        <v>5235.1000000000004</v>
      </c>
      <c r="CB64" s="18">
        <f t="shared" si="248"/>
        <v>5307.3</v>
      </c>
      <c r="CC64" s="27">
        <f t="shared" si="248"/>
        <v>5307.3</v>
      </c>
      <c r="CD64" s="18">
        <f t="shared" si="248"/>
        <v>5341.7999999999993</v>
      </c>
      <c r="CE64" s="18">
        <f t="shared" ref="CE64:CF64" si="249">+CE58+CE63</f>
        <v>5230.5999999999995</v>
      </c>
      <c r="CF64" s="18">
        <f t="shared" si="249"/>
        <v>5175.2</v>
      </c>
      <c r="CG64" s="18">
        <f t="shared" ref="CG64:CJ64" si="250">+CG58+CG63</f>
        <v>5186.1000000000004</v>
      </c>
      <c r="CH64" s="27">
        <f t="shared" si="250"/>
        <v>5186.1000000000004</v>
      </c>
      <c r="CI64" s="18">
        <f t="shared" si="250"/>
        <v>5270</v>
      </c>
      <c r="CJ64" s="18">
        <f t="shared" si="250"/>
        <v>5144.2999999999993</v>
      </c>
      <c r="CK64" s="18">
        <f t="shared" ref="CK64:CL64" si="251">+CK58+CK63</f>
        <v>5077.6000000000004</v>
      </c>
      <c r="CL64" s="18">
        <f t="shared" si="251"/>
        <v>4634.5</v>
      </c>
      <c r="CM64" s="27">
        <f t="shared" ref="CM64:CQ64" si="252">+CM58+CM63</f>
        <v>4634.5</v>
      </c>
      <c r="CN64" s="18">
        <f t="shared" si="252"/>
        <v>4614.8</v>
      </c>
      <c r="CO64" s="18">
        <f t="shared" si="252"/>
        <v>3838.7999999999997</v>
      </c>
      <c r="CP64" s="18">
        <f t="shared" si="252"/>
        <v>3780.0999999999995</v>
      </c>
      <c r="CQ64" s="18">
        <f t="shared" si="252"/>
        <v>3661.6</v>
      </c>
      <c r="CR64" s="27">
        <f t="shared" ref="CR64:CW64" si="253">+CR58+CR63</f>
        <v>3661.6</v>
      </c>
      <c r="CS64" s="18">
        <f t="shared" si="253"/>
        <v>3748.9</v>
      </c>
      <c r="CT64" s="18">
        <f t="shared" si="253"/>
        <v>3703.7</v>
      </c>
      <c r="CU64" s="18">
        <f t="shared" si="253"/>
        <v>3525</v>
      </c>
      <c r="CV64" s="18">
        <f t="shared" si="253"/>
        <v>3536.4</v>
      </c>
      <c r="CW64" s="27">
        <f t="shared" si="253"/>
        <v>3536.4</v>
      </c>
    </row>
    <row r="65" spans="4:98" ht="6" customHeight="1" x14ac:dyDescent="0.2">
      <c r="D65" s="1"/>
      <c r="L65" s="17"/>
      <c r="M65" s="17"/>
      <c r="N65" s="17"/>
      <c r="Q65" s="17"/>
      <c r="R65" s="17"/>
      <c r="S65" s="17"/>
      <c r="V65" s="17"/>
      <c r="W65" s="17"/>
      <c r="X65" s="17"/>
      <c r="AA65" s="17"/>
      <c r="AB65" s="17"/>
      <c r="AC65" s="17"/>
      <c r="AF65" s="17"/>
      <c r="AG65" s="17"/>
      <c r="AH65" s="17"/>
      <c r="AK65" s="17"/>
      <c r="AL65" s="17"/>
      <c r="AM65" s="17"/>
      <c r="AP65" s="17"/>
      <c r="AQ65" s="17"/>
      <c r="AR65" s="17"/>
      <c r="AU65" s="17"/>
      <c r="AV65" s="17"/>
      <c r="AW65" s="17"/>
      <c r="AZ65" s="17"/>
      <c r="BA65" s="17"/>
      <c r="BB65" s="17"/>
      <c r="BO65" s="17"/>
      <c r="BT65" s="17"/>
      <c r="BY65" s="17"/>
      <c r="BZ65" s="17"/>
      <c r="CD65" s="17"/>
      <c r="CE65" s="17"/>
      <c r="CI65" s="17"/>
      <c r="CJ65" s="17"/>
      <c r="CN65" s="17"/>
      <c r="CO65" s="17"/>
      <c r="CS65" s="17"/>
      <c r="CT65" s="17"/>
    </row>
    <row r="66" spans="4:98" ht="18.95" customHeight="1" x14ac:dyDescent="0.2">
      <c r="D66" s="1"/>
      <c r="G66" s="47"/>
      <c r="L66" s="17"/>
      <c r="M66" s="17"/>
      <c r="N66" s="17"/>
      <c r="Q66" s="17"/>
      <c r="R66" s="17"/>
      <c r="S66" s="17"/>
      <c r="V66" s="17"/>
      <c r="W66" s="17"/>
      <c r="X66" s="17"/>
      <c r="AA66" s="48" t="s">
        <v>138</v>
      </c>
      <c r="AB66" s="17"/>
      <c r="AC66" s="17"/>
      <c r="AF66" s="48"/>
      <c r="AG66" s="17"/>
      <c r="AH66" s="17"/>
      <c r="AK66" s="17"/>
      <c r="AL66" s="17"/>
      <c r="AM66" s="17"/>
      <c r="AP66" s="17"/>
      <c r="AQ66" s="17"/>
      <c r="AR66" s="17"/>
      <c r="AU66" s="48" t="s">
        <v>139</v>
      </c>
      <c r="AV66" s="17"/>
      <c r="AW66" s="17"/>
      <c r="AZ66" s="17"/>
      <c r="BA66" s="17"/>
      <c r="BB66" s="17"/>
      <c r="BO66" s="17"/>
      <c r="BT66" s="17"/>
      <c r="BY66" s="17"/>
      <c r="BZ66" s="17"/>
      <c r="CD66" s="17"/>
      <c r="CE66" s="17"/>
      <c r="CI66" s="17"/>
      <c r="CJ66" s="17"/>
      <c r="CN66" s="17"/>
      <c r="CO66" s="17"/>
      <c r="CS66" s="17"/>
      <c r="CT66" s="17"/>
    </row>
    <row r="67" spans="4:98" ht="15" x14ac:dyDescent="0.25">
      <c r="D67" s="1"/>
      <c r="AU67" s="106" t="s">
        <v>140</v>
      </c>
    </row>
    <row r="68" spans="4:98" x14ac:dyDescent="0.2">
      <c r="D68" s="1"/>
    </row>
    <row r="69" spans="4:98" x14ac:dyDescent="0.2">
      <c r="D69" s="1"/>
    </row>
    <row r="70" spans="4:98" x14ac:dyDescent="0.2">
      <c r="D70" s="1"/>
    </row>
    <row r="71" spans="4:98" x14ac:dyDescent="0.2">
      <c r="D71" s="1"/>
    </row>
    <row r="72" spans="4:98" x14ac:dyDescent="0.2">
      <c r="D72" s="1"/>
    </row>
    <row r="73" spans="4:98" x14ac:dyDescent="0.2">
      <c r="D73" s="1"/>
    </row>
    <row r="74" spans="4:98" x14ac:dyDescent="0.2">
      <c r="D74" s="1"/>
    </row>
    <row r="75" spans="4:98" x14ac:dyDescent="0.2">
      <c r="D75" s="1"/>
    </row>
    <row r="76" spans="4:98" x14ac:dyDescent="0.2">
      <c r="D76" s="1"/>
    </row>
    <row r="77" spans="4:98" x14ac:dyDescent="0.2">
      <c r="D77" s="1"/>
    </row>
    <row r="78" spans="4:98" x14ac:dyDescent="0.2">
      <c r="D78" s="1"/>
    </row>
    <row r="79" spans="4:98" x14ac:dyDescent="0.2">
      <c r="D79" s="1"/>
    </row>
    <row r="80" spans="4:98" x14ac:dyDescent="0.2">
      <c r="D80" s="1"/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</sheetData>
  <dataConsolidate/>
  <phoneticPr fontId="0" type="noConversion"/>
  <pageMargins left="0.65" right="0.4" top="0.45" bottom="0" header="0.3" footer="0"/>
  <pageSetup scale="76" fitToWidth="0" orientation="landscape" r:id="rId1"/>
  <headerFooter alignWithMargins="0"/>
  <colBreaks count="4" manualBreakCount="4">
    <brk id="26" max="1048575" man="1"/>
    <brk id="46" max="1048575" man="1"/>
    <brk id="66" max="1048575" man="1"/>
    <brk id="86" max="66" man="1"/>
  </colBreaks>
  <ignoredErrors>
    <ignoredError sqref="AJ2 AO2 AT2" numberStoredAsText="1"/>
  </ignoredErrors>
  <webPublishItems count="3">
    <webPublishItem id="25538" divId="LEG Figures for Web_25538" sourceType="sheet" destinationFile="C:\Data\Numbers.htm" title="Leggett Financials"/>
    <webPublishItem id="3435" divId="LEG Figures for Web_3435" sourceType="printArea" destinationFile="C:\data\WebSite\Leggett Financials.htm"/>
    <webPublishItem id="26078" divId="LEG Figures for Web_26078" sourceType="range" sourceRef="A1:A65538" destinationFile="C:\data\WebSite\Leggett Financials.htm" title="LEG Financials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65"/>
  <sheetViews>
    <sheetView zoomScaleNormal="100" workbookViewId="0">
      <pane xSplit="1" topLeftCell="BR1" activePane="topRight" state="frozen"/>
      <selection pane="topRight" activeCell="CQ22" sqref="CQ22"/>
    </sheetView>
  </sheetViews>
  <sheetFormatPr defaultColWidth="9.140625" defaultRowHeight="12" x14ac:dyDescent="0.2"/>
  <cols>
    <col min="1" max="1" width="31" style="1" customWidth="1"/>
    <col min="2" max="45" width="7" style="1" customWidth="1"/>
    <col min="46" max="46" width="8.5703125" style="1" bestFit="1" customWidth="1"/>
    <col min="47" max="96" width="7" style="1" customWidth="1"/>
    <col min="97" max="16384" width="9.140625" style="1"/>
  </cols>
  <sheetData>
    <row r="1" spans="1:96" ht="15.75" x14ac:dyDescent="0.2">
      <c r="A1" s="45" t="s">
        <v>141</v>
      </c>
    </row>
    <row r="2" spans="1:96" s="15" customFormat="1" ht="21.75" customHeight="1" thickBot="1" x14ac:dyDescent="0.25">
      <c r="A2" s="45"/>
      <c r="B2" s="28"/>
      <c r="C2" s="28"/>
      <c r="D2" s="28"/>
      <c r="E2" s="28"/>
      <c r="F2" s="28"/>
    </row>
    <row r="3" spans="1:96" ht="14.25" thickBot="1" x14ac:dyDescent="0.25">
      <c r="A3" s="6"/>
      <c r="B3" s="2" t="s">
        <v>5</v>
      </c>
      <c r="C3" s="2" t="s">
        <v>6</v>
      </c>
      <c r="D3" s="2" t="s">
        <v>7</v>
      </c>
      <c r="E3" s="2" t="s">
        <v>8</v>
      </c>
      <c r="F3" s="3">
        <v>2007</v>
      </c>
      <c r="G3" s="2" t="s">
        <v>9</v>
      </c>
      <c r="H3" s="2" t="s">
        <v>10</v>
      </c>
      <c r="I3" s="2" t="s">
        <v>11</v>
      </c>
      <c r="J3" s="2" t="s">
        <v>12</v>
      </c>
      <c r="K3" s="3">
        <v>2008</v>
      </c>
      <c r="L3" s="2" t="s">
        <v>13</v>
      </c>
      <c r="M3" s="2" t="s">
        <v>14</v>
      </c>
      <c r="N3" s="2" t="s">
        <v>15</v>
      </c>
      <c r="O3" s="2" t="s">
        <v>16</v>
      </c>
      <c r="P3" s="3">
        <v>2009</v>
      </c>
      <c r="Q3" s="2" t="s">
        <v>17</v>
      </c>
      <c r="R3" s="2" t="s">
        <v>18</v>
      </c>
      <c r="S3" s="2" t="s">
        <v>19</v>
      </c>
      <c r="T3" s="2" t="s">
        <v>20</v>
      </c>
      <c r="U3" s="3">
        <v>2010</v>
      </c>
      <c r="V3" s="2" t="s">
        <v>21</v>
      </c>
      <c r="W3" s="2" t="s">
        <v>22</v>
      </c>
      <c r="X3" s="2" t="s">
        <v>23</v>
      </c>
      <c r="Y3" s="2" t="s">
        <v>24</v>
      </c>
      <c r="Z3" s="3">
        <v>2011</v>
      </c>
      <c r="AA3" s="2" t="s">
        <v>142</v>
      </c>
      <c r="AB3" s="2" t="s">
        <v>143</v>
      </c>
      <c r="AC3" s="2" t="s">
        <v>144</v>
      </c>
      <c r="AD3" s="2" t="s">
        <v>145</v>
      </c>
      <c r="AE3" s="3" t="s">
        <v>146</v>
      </c>
      <c r="AF3" s="2" t="s">
        <v>147</v>
      </c>
      <c r="AG3" s="2" t="s">
        <v>148</v>
      </c>
      <c r="AH3" s="2" t="s">
        <v>149</v>
      </c>
      <c r="AI3" s="2" t="s">
        <v>150</v>
      </c>
      <c r="AJ3" s="3" t="s">
        <v>151</v>
      </c>
      <c r="AK3" s="2" t="s">
        <v>152</v>
      </c>
      <c r="AL3" s="2" t="s">
        <v>153</v>
      </c>
      <c r="AM3" s="2" t="s">
        <v>154</v>
      </c>
      <c r="AN3" s="2" t="s">
        <v>155</v>
      </c>
      <c r="AO3" s="3" t="s">
        <v>156</v>
      </c>
      <c r="AP3" s="2" t="s">
        <v>157</v>
      </c>
      <c r="AQ3" s="2" t="s">
        <v>158</v>
      </c>
      <c r="AR3" s="2" t="s">
        <v>159</v>
      </c>
      <c r="AS3" s="2" t="s">
        <v>160</v>
      </c>
      <c r="AT3" s="3" t="s">
        <v>161</v>
      </c>
      <c r="AU3" s="2" t="s">
        <v>162</v>
      </c>
      <c r="AV3" s="2" t="s">
        <v>163</v>
      </c>
      <c r="AW3" s="2" t="s">
        <v>164</v>
      </c>
      <c r="AX3" s="2" t="s">
        <v>165</v>
      </c>
      <c r="AY3" s="3" t="s">
        <v>166</v>
      </c>
      <c r="AZ3" s="2" t="s">
        <v>167</v>
      </c>
      <c r="BA3" s="2" t="s">
        <v>168</v>
      </c>
      <c r="BB3" s="2" t="s">
        <v>169</v>
      </c>
      <c r="BC3" s="2" t="s">
        <v>170</v>
      </c>
      <c r="BD3" s="3" t="s">
        <v>171</v>
      </c>
      <c r="BE3" s="2" t="s">
        <v>172</v>
      </c>
      <c r="BF3" s="2" t="s">
        <v>173</v>
      </c>
      <c r="BG3" s="2" t="s">
        <v>174</v>
      </c>
      <c r="BH3" s="2" t="s">
        <v>175</v>
      </c>
      <c r="BI3" s="3" t="s">
        <v>176</v>
      </c>
      <c r="BJ3" s="2" t="s">
        <v>177</v>
      </c>
      <c r="BK3" s="2" t="s">
        <v>178</v>
      </c>
      <c r="BL3" s="2" t="s">
        <v>179</v>
      </c>
      <c r="BM3" s="2" t="s">
        <v>180</v>
      </c>
      <c r="BN3" s="3" t="s">
        <v>181</v>
      </c>
      <c r="BO3" s="2" t="s">
        <v>182</v>
      </c>
      <c r="BP3" s="2" t="s">
        <v>183</v>
      </c>
      <c r="BQ3" s="2" t="s">
        <v>184</v>
      </c>
      <c r="BR3" s="2" t="s">
        <v>185</v>
      </c>
      <c r="BS3" s="3" t="s">
        <v>186</v>
      </c>
      <c r="BT3" s="2" t="s">
        <v>70</v>
      </c>
      <c r="BU3" s="2" t="s">
        <v>71</v>
      </c>
      <c r="BV3" s="2" t="s">
        <v>72</v>
      </c>
      <c r="BW3" s="2" t="s">
        <v>73</v>
      </c>
      <c r="BX3" s="3">
        <v>2021</v>
      </c>
      <c r="BY3" s="2" t="s">
        <v>74</v>
      </c>
      <c r="BZ3" s="2" t="s">
        <v>75</v>
      </c>
      <c r="CA3" s="2" t="s">
        <v>76</v>
      </c>
      <c r="CB3" s="2" t="s">
        <v>77</v>
      </c>
      <c r="CC3" s="3">
        <v>2022</v>
      </c>
      <c r="CD3" s="2" t="s">
        <v>78</v>
      </c>
      <c r="CE3" s="2" t="s">
        <v>79</v>
      </c>
      <c r="CF3" s="2" t="s">
        <v>80</v>
      </c>
      <c r="CG3" s="2" t="s">
        <v>81</v>
      </c>
      <c r="CH3" s="3">
        <v>2023</v>
      </c>
      <c r="CI3" s="2" t="s">
        <v>82</v>
      </c>
      <c r="CJ3" s="2" t="s">
        <v>83</v>
      </c>
      <c r="CK3" s="2" t="s">
        <v>84</v>
      </c>
      <c r="CL3" s="2" t="s">
        <v>85</v>
      </c>
      <c r="CM3" s="3">
        <v>2024</v>
      </c>
      <c r="CN3" s="2" t="s">
        <v>193</v>
      </c>
      <c r="CO3" s="2" t="s">
        <v>194</v>
      </c>
      <c r="CP3" s="2" t="s">
        <v>195</v>
      </c>
      <c r="CQ3" s="2" t="s">
        <v>196</v>
      </c>
      <c r="CR3" s="3">
        <v>2025</v>
      </c>
    </row>
    <row r="4" spans="1:96" ht="12.75" thickBot="1" x14ac:dyDescent="0.25">
      <c r="A4" s="4" t="s">
        <v>86</v>
      </c>
      <c r="B4" s="2"/>
      <c r="C4" s="2"/>
      <c r="D4" s="2"/>
      <c r="E4" s="2"/>
      <c r="F4" s="5"/>
      <c r="G4" s="2"/>
      <c r="H4" s="2"/>
      <c r="I4" s="2"/>
      <c r="J4" s="2"/>
      <c r="K4" s="5"/>
      <c r="L4" s="2"/>
      <c r="M4" s="2"/>
      <c r="N4" s="2"/>
      <c r="O4" s="2"/>
      <c r="P4" s="5"/>
      <c r="Q4" s="2"/>
      <c r="R4" s="2"/>
      <c r="S4" s="2"/>
      <c r="T4" s="2"/>
      <c r="U4" s="5"/>
      <c r="V4" s="2"/>
      <c r="W4" s="2"/>
      <c r="X4" s="2"/>
      <c r="Y4" s="2"/>
      <c r="Z4" s="5"/>
      <c r="AA4" s="2"/>
      <c r="AB4" s="2"/>
      <c r="AC4" s="2"/>
      <c r="AD4" s="2"/>
      <c r="AE4" s="5"/>
      <c r="AF4" s="2"/>
      <c r="AG4" s="2"/>
      <c r="AH4" s="2"/>
      <c r="AI4" s="2"/>
      <c r="AJ4" s="5"/>
      <c r="AK4" s="2"/>
      <c r="AL4" s="2"/>
      <c r="AM4" s="2"/>
      <c r="AN4" s="2"/>
      <c r="AO4" s="5"/>
      <c r="AP4" s="2"/>
      <c r="AQ4" s="2"/>
      <c r="AR4" s="2"/>
      <c r="AS4" s="2"/>
      <c r="AT4" s="5"/>
      <c r="AU4" s="2"/>
      <c r="AV4" s="2"/>
      <c r="AW4" s="2"/>
      <c r="AX4" s="2"/>
      <c r="AY4" s="5"/>
      <c r="AZ4" s="2"/>
      <c r="BA4" s="2"/>
      <c r="BB4" s="2"/>
      <c r="BC4" s="2"/>
      <c r="BD4" s="5"/>
      <c r="BE4" s="2"/>
      <c r="BF4" s="2"/>
      <c r="BG4" s="2"/>
      <c r="BH4" s="2"/>
      <c r="BI4" s="5"/>
      <c r="BJ4" s="2"/>
      <c r="BK4" s="2"/>
      <c r="BL4" s="2"/>
      <c r="BM4" s="2"/>
      <c r="BN4" s="5"/>
      <c r="BO4" s="2"/>
      <c r="BP4" s="2"/>
      <c r="BQ4" s="2"/>
      <c r="BR4" s="2"/>
      <c r="BS4" s="5"/>
      <c r="BT4" s="2"/>
      <c r="BU4" s="2"/>
      <c r="BV4" s="2"/>
      <c r="BW4" s="2"/>
      <c r="BX4" s="5"/>
      <c r="BY4" s="2"/>
      <c r="BZ4" s="2"/>
      <c r="CA4" s="2"/>
      <c r="CB4" s="2"/>
      <c r="CC4" s="5"/>
      <c r="CD4" s="2"/>
      <c r="CE4" s="2"/>
      <c r="CF4" s="2"/>
      <c r="CG4" s="2"/>
      <c r="CH4" s="5"/>
      <c r="CI4" s="2"/>
      <c r="CJ4" s="2"/>
      <c r="CK4" s="2"/>
      <c r="CL4" s="2"/>
      <c r="CM4" s="5"/>
      <c r="CN4" s="2"/>
      <c r="CO4" s="2"/>
      <c r="CP4" s="2"/>
      <c r="CQ4" s="2"/>
      <c r="CR4" s="5"/>
    </row>
    <row r="5" spans="1:96" x14ac:dyDescent="0.2">
      <c r="A5" s="1" t="s">
        <v>87</v>
      </c>
      <c r="B5" s="17">
        <v>1047.5999999999999</v>
      </c>
      <c r="C5" s="17">
        <v>1070.5</v>
      </c>
      <c r="D5" s="17">
        <v>1092.2</v>
      </c>
      <c r="E5" s="17">
        <v>1039.7</v>
      </c>
      <c r="F5" s="20">
        <f>SUM(B5:E5)</f>
        <v>4250</v>
      </c>
      <c r="G5" s="17">
        <v>998.3</v>
      </c>
      <c r="H5" s="17">
        <v>1063.0999999999999</v>
      </c>
      <c r="I5" s="17">
        <v>1132.2</v>
      </c>
      <c r="J5" s="17">
        <v>882.5</v>
      </c>
      <c r="K5" s="20">
        <f>SUM(G5:J5)</f>
        <v>4076.0999999999995</v>
      </c>
      <c r="L5" s="17">
        <v>718.1</v>
      </c>
      <c r="M5" s="17">
        <v>757.4</v>
      </c>
      <c r="N5" s="17">
        <v>809.9</v>
      </c>
      <c r="O5" s="17">
        <v>769.7</v>
      </c>
      <c r="P5" s="20">
        <f>SUM(L5:O5)</f>
        <v>3055.1000000000004</v>
      </c>
      <c r="Q5" s="17">
        <v>816.4</v>
      </c>
      <c r="R5" s="17">
        <v>874.3</v>
      </c>
      <c r="S5" s="17">
        <v>866.5</v>
      </c>
      <c r="T5" s="17">
        <v>801.9</v>
      </c>
      <c r="U5" s="20">
        <f>SUM(Q5:T5)</f>
        <v>3359.1</v>
      </c>
      <c r="V5" s="17">
        <v>895.8</v>
      </c>
      <c r="W5" s="17">
        <v>945.2</v>
      </c>
      <c r="X5" s="17">
        <v>940.9</v>
      </c>
      <c r="Y5" s="17">
        <v>854.1</v>
      </c>
      <c r="Z5" s="20">
        <f>SUM(V5:Y5)</f>
        <v>3636</v>
      </c>
      <c r="AA5" s="17">
        <v>875.5</v>
      </c>
      <c r="AB5" s="17">
        <v>867.3</v>
      </c>
      <c r="AC5" s="17">
        <v>862.9</v>
      </c>
      <c r="AD5" s="17">
        <v>808.8</v>
      </c>
      <c r="AE5" s="20">
        <f>SUM(AA5:AD5)</f>
        <v>3414.5</v>
      </c>
      <c r="AF5" s="17">
        <v>860.8</v>
      </c>
      <c r="AG5" s="17">
        <v>879.6</v>
      </c>
      <c r="AH5" s="17">
        <v>877.6</v>
      </c>
      <c r="AI5" s="17">
        <v>859.2</v>
      </c>
      <c r="AJ5" s="20">
        <f>SUM(AF5:AI5)</f>
        <v>3477.2</v>
      </c>
      <c r="AK5" s="17">
        <v>875.5</v>
      </c>
      <c r="AL5" s="17">
        <v>956.1</v>
      </c>
      <c r="AM5" s="17">
        <v>997.4</v>
      </c>
      <c r="AN5" s="17">
        <v>953.3</v>
      </c>
      <c r="AO5" s="20">
        <f>SUM(AK5:AN5)</f>
        <v>3782.3</v>
      </c>
      <c r="AP5" s="17">
        <v>966.2</v>
      </c>
      <c r="AQ5" s="17">
        <v>997.3</v>
      </c>
      <c r="AR5" s="17">
        <v>1009.1</v>
      </c>
      <c r="AS5" s="17">
        <v>944.6</v>
      </c>
      <c r="AT5" s="72">
        <f>SUM(AP5:AS5)</f>
        <v>3917.2</v>
      </c>
      <c r="AU5" s="70">
        <v>938.4</v>
      </c>
      <c r="AV5" s="70">
        <v>958.9</v>
      </c>
      <c r="AW5" s="70">
        <v>948.9</v>
      </c>
      <c r="AX5" s="70">
        <v>903.7</v>
      </c>
      <c r="AY5" s="72">
        <f>SUM(AU5:AX5)</f>
        <v>3749.8999999999996</v>
      </c>
      <c r="AZ5" s="70">
        <v>960.3</v>
      </c>
      <c r="BA5" s="70">
        <v>989.3</v>
      </c>
      <c r="BB5" s="70">
        <v>1009.7</v>
      </c>
      <c r="BC5" s="70">
        <v>984.5</v>
      </c>
      <c r="BD5" s="72">
        <f>SUM(AZ5:BC5)</f>
        <v>3943.8</v>
      </c>
      <c r="BE5" s="70">
        <v>1028.8</v>
      </c>
      <c r="BF5" s="70">
        <v>1102.45</v>
      </c>
      <c r="BG5" s="70">
        <v>1091.5</v>
      </c>
      <c r="BH5" s="70">
        <v>1046.7</v>
      </c>
      <c r="BI5" s="72">
        <f>SUM(BE5:BH5)+0.05</f>
        <v>4269.5</v>
      </c>
      <c r="BJ5" s="70">
        <v>1155.0999999999999</v>
      </c>
      <c r="BK5" s="70">
        <v>1213.2</v>
      </c>
      <c r="BL5" s="70">
        <v>1239.3</v>
      </c>
      <c r="BM5" s="70">
        <v>1144.9000000000001</v>
      </c>
      <c r="BN5" s="72">
        <f>SUM(BJ5:BM5)</f>
        <v>4752.5</v>
      </c>
      <c r="BO5" s="70">
        <v>1045.49</v>
      </c>
      <c r="BP5" s="70">
        <v>845.1</v>
      </c>
      <c r="BQ5" s="70">
        <v>1207.5999999999999</v>
      </c>
      <c r="BR5" s="70">
        <v>1182</v>
      </c>
      <c r="BS5" s="72">
        <f>SUM(BO5:BR5)</f>
        <v>4280.1900000000005</v>
      </c>
      <c r="BT5" s="70">
        <v>1150.9000000000001</v>
      </c>
      <c r="BU5" s="70">
        <v>1269.5999999999999</v>
      </c>
      <c r="BV5" s="70">
        <v>1319.2</v>
      </c>
      <c r="BW5" s="70">
        <v>1332.9</v>
      </c>
      <c r="BX5" s="72">
        <f>SUM(BT5:BW5)</f>
        <v>5072.6000000000004</v>
      </c>
      <c r="BY5" s="70">
        <v>1322.3</v>
      </c>
      <c r="BZ5" s="70">
        <v>1334.2</v>
      </c>
      <c r="CA5" s="17">
        <v>1294.4000000000001</v>
      </c>
      <c r="CB5" s="17">
        <v>1195.8</v>
      </c>
      <c r="CC5" s="72">
        <f>SUM(BY5:CB5)</f>
        <v>5146.7</v>
      </c>
      <c r="CD5" s="70">
        <v>1213.5999999999999</v>
      </c>
      <c r="CE5" s="17">
        <v>1221.2</v>
      </c>
      <c r="CF5" s="17">
        <v>1175.4000000000001</v>
      </c>
      <c r="CG5" s="17">
        <v>1115.0999999999999</v>
      </c>
      <c r="CH5" s="72">
        <f>SUM(CD5:CG5)</f>
        <v>4725.3</v>
      </c>
      <c r="CI5" s="70">
        <v>1096.9000000000001</v>
      </c>
      <c r="CJ5" s="70">
        <v>1128.5999999999999</v>
      </c>
      <c r="CK5" s="17">
        <v>1101.7</v>
      </c>
      <c r="CL5" s="17">
        <v>1056.4000000000001</v>
      </c>
      <c r="CM5" s="72">
        <f>SUM(CI5:CL5)</f>
        <v>4383.6000000000004</v>
      </c>
      <c r="CN5" s="70">
        <v>1022.1</v>
      </c>
      <c r="CO5" s="70">
        <v>1058</v>
      </c>
      <c r="CP5" s="17">
        <v>1036.4000000000001</v>
      </c>
      <c r="CQ5" s="17">
        <v>938.6</v>
      </c>
      <c r="CR5" s="72">
        <f>SUM(CN5:CQ5)</f>
        <v>4055.1</v>
      </c>
    </row>
    <row r="6" spans="1:96" x14ac:dyDescent="0.2">
      <c r="A6" s="1" t="s">
        <v>88</v>
      </c>
      <c r="B6" s="26">
        <v>851.1</v>
      </c>
      <c r="C6" s="26">
        <v>863.5</v>
      </c>
      <c r="D6" s="26">
        <v>876.6</v>
      </c>
      <c r="E6" s="26">
        <f>863-5</f>
        <v>858</v>
      </c>
      <c r="F6" s="21">
        <f>SUM(B6:E6)</f>
        <v>3449.2</v>
      </c>
      <c r="G6" s="26">
        <v>821.2</v>
      </c>
      <c r="H6" s="26">
        <v>866.7</v>
      </c>
      <c r="I6" s="26">
        <f>925.1-3</f>
        <v>922.1</v>
      </c>
      <c r="J6" s="26">
        <f>771.9-8.7</f>
        <v>763.19999999999993</v>
      </c>
      <c r="K6" s="21">
        <f>SUM(G6:J6)</f>
        <v>3373.2</v>
      </c>
      <c r="L6" s="26">
        <v>593.1</v>
      </c>
      <c r="M6" s="26">
        <v>610.20000000000005</v>
      </c>
      <c r="N6" s="26">
        <v>622.6</v>
      </c>
      <c r="O6" s="26">
        <v>599.5</v>
      </c>
      <c r="P6" s="21">
        <f>SUM(L6:O6)</f>
        <v>2425.4</v>
      </c>
      <c r="Q6" s="26">
        <v>650.9</v>
      </c>
      <c r="R6" s="26">
        <v>694.6</v>
      </c>
      <c r="S6" s="26">
        <v>697.8</v>
      </c>
      <c r="T6" s="26">
        <v>660.4</v>
      </c>
      <c r="U6" s="21">
        <f>SUM(Q6:T6)</f>
        <v>2703.7</v>
      </c>
      <c r="V6" s="26">
        <v>725.8</v>
      </c>
      <c r="W6" s="26">
        <v>763.3</v>
      </c>
      <c r="X6" s="26">
        <v>770.5</v>
      </c>
      <c r="Y6" s="26">
        <f>711.1-2.6</f>
        <v>708.5</v>
      </c>
      <c r="Z6" s="21">
        <f>SUM(V6:Y6)</f>
        <v>2968.1</v>
      </c>
      <c r="AA6" s="26">
        <v>707.7</v>
      </c>
      <c r="AB6" s="26">
        <v>691.5</v>
      </c>
      <c r="AC6" s="26">
        <v>683.5</v>
      </c>
      <c r="AD6" s="26">
        <v>636.20000000000005</v>
      </c>
      <c r="AE6" s="21">
        <f>SUM(AA6:AD6)</f>
        <v>2718.8999999999996</v>
      </c>
      <c r="AF6" s="26">
        <v>680.9</v>
      </c>
      <c r="AG6" s="26">
        <v>694.3</v>
      </c>
      <c r="AH6" s="26">
        <v>698</v>
      </c>
      <c r="AI6" s="26">
        <v>694.1</v>
      </c>
      <c r="AJ6" s="21">
        <f>SUM(AF6:AI6)</f>
        <v>2767.2999999999997</v>
      </c>
      <c r="AK6" s="26">
        <v>698.7</v>
      </c>
      <c r="AL6" s="26">
        <v>755.4</v>
      </c>
      <c r="AM6" s="26">
        <v>788.3</v>
      </c>
      <c r="AN6" s="26">
        <v>749.5</v>
      </c>
      <c r="AO6" s="21">
        <f>SUM(AK6:AN6)</f>
        <v>2991.8999999999996</v>
      </c>
      <c r="AP6" s="26">
        <v>753.4</v>
      </c>
      <c r="AQ6" s="26">
        <v>772.80000000000007</v>
      </c>
      <c r="AR6" s="26">
        <v>782.00000000000011</v>
      </c>
      <c r="AS6" s="26">
        <f>732.2-8.2</f>
        <v>724</v>
      </c>
      <c r="AT6" s="71">
        <f>SUM(AP6:AS6)</f>
        <v>3032.2000000000003</v>
      </c>
      <c r="AU6" s="73">
        <v>705.09999999999991</v>
      </c>
      <c r="AV6" s="73">
        <v>718.20000000000016</v>
      </c>
      <c r="AW6" s="73">
        <v>726.2</v>
      </c>
      <c r="AX6" s="73">
        <v>686.99999999999977</v>
      </c>
      <c r="AY6" s="71">
        <f>SUM(AU6:AX6)</f>
        <v>2836.5</v>
      </c>
      <c r="AZ6" s="73">
        <v>733.80000000000007</v>
      </c>
      <c r="BA6" s="73">
        <v>756.90000000000009</v>
      </c>
      <c r="BB6" s="73">
        <v>786.50000000000023</v>
      </c>
      <c r="BC6" s="73">
        <f>770-13</f>
        <v>757</v>
      </c>
      <c r="BD6" s="71">
        <f t="shared" ref="BD6" si="0">SUM(AZ6:BC6)</f>
        <v>3034.2000000000007</v>
      </c>
      <c r="BE6" s="73">
        <v>805.5</v>
      </c>
      <c r="BF6" s="73">
        <v>858.99999999999989</v>
      </c>
      <c r="BG6" s="73">
        <v>859.20000000000016</v>
      </c>
      <c r="BH6" s="73">
        <f>833.7-10.7</f>
        <v>823</v>
      </c>
      <c r="BI6" s="71">
        <f t="shared" ref="BI6" si="1">SUM(BE6:BH6)</f>
        <v>3346.7000000000003</v>
      </c>
      <c r="BJ6" s="73">
        <f>921-1.8</f>
        <v>919.2</v>
      </c>
      <c r="BK6" s="73">
        <f>953+2.4</f>
        <v>955.4</v>
      </c>
      <c r="BL6" s="73">
        <f>969.7+2.69</f>
        <v>972.3900000000001</v>
      </c>
      <c r="BM6" s="73">
        <f>884.8+2</f>
        <v>886.8</v>
      </c>
      <c r="BN6" s="71">
        <f>SUM(BJ6:BM6)</f>
        <v>3733.79</v>
      </c>
      <c r="BO6" s="73">
        <v>824.8</v>
      </c>
      <c r="BP6" s="73">
        <f>698.5+0.2</f>
        <v>698.7</v>
      </c>
      <c r="BQ6" s="73">
        <f>937.9-0.7</f>
        <v>937.19999999999993</v>
      </c>
      <c r="BR6" s="73">
        <v>914.89999999999986</v>
      </c>
      <c r="BS6" s="71">
        <f>SUM(BO6:BR6)</f>
        <v>3375.5999999999995</v>
      </c>
      <c r="BT6" s="73">
        <v>903.4</v>
      </c>
      <c r="BU6" s="73">
        <v>1000.3</v>
      </c>
      <c r="BV6" s="73">
        <v>1063.0999999999999</v>
      </c>
      <c r="BW6" s="73">
        <v>1067.5</v>
      </c>
      <c r="BX6" s="71">
        <f>SUM(BT6:BW6)</f>
        <v>4034.2999999999997</v>
      </c>
      <c r="BY6" s="73">
        <v>1055</v>
      </c>
      <c r="BZ6" s="73">
        <v>1065.8</v>
      </c>
      <c r="CA6" s="26">
        <v>1063.9000000000001</v>
      </c>
      <c r="CB6" s="26">
        <v>985.2</v>
      </c>
      <c r="CC6" s="71">
        <f>SUM(BY6:CB6)</f>
        <v>4169.9000000000005</v>
      </c>
      <c r="CD6" s="73">
        <v>995</v>
      </c>
      <c r="CE6" s="26">
        <v>1000.1</v>
      </c>
      <c r="CF6" s="26">
        <v>961.1</v>
      </c>
      <c r="CG6" s="26">
        <v>915.3</v>
      </c>
      <c r="CH6" s="71">
        <f>SUM(CD6:CG6)</f>
        <v>3871.5</v>
      </c>
      <c r="CI6" s="73">
        <f>910.5-2.3</f>
        <v>908.2</v>
      </c>
      <c r="CJ6" s="73">
        <f>942.1-1.4</f>
        <v>940.7</v>
      </c>
      <c r="CK6" s="26">
        <f>901.1-0.8</f>
        <v>900.30000000000007</v>
      </c>
      <c r="CL6" s="26">
        <f>880.8-8.7</f>
        <v>872.09999999999991</v>
      </c>
      <c r="CM6" s="71">
        <f>SUM(CI6:CL6)</f>
        <v>3621.3</v>
      </c>
      <c r="CN6" s="73">
        <f>832.1-0.5</f>
        <v>831.6</v>
      </c>
      <c r="CO6" s="73">
        <v>865.4</v>
      </c>
      <c r="CP6" s="26">
        <f>842.7-1.7</f>
        <v>841</v>
      </c>
      <c r="CQ6" s="26">
        <f>770.8-1.4</f>
        <v>769.4</v>
      </c>
      <c r="CR6" s="71">
        <f>SUM(CN6:CQ6)</f>
        <v>3307.4</v>
      </c>
    </row>
    <row r="7" spans="1:96" x14ac:dyDescent="0.2">
      <c r="A7" s="6" t="s">
        <v>89</v>
      </c>
      <c r="B7" s="17">
        <f t="shared" ref="B7:H7" si="2">+B5-B6</f>
        <v>196.49999999999989</v>
      </c>
      <c r="C7" s="17">
        <f t="shared" si="2"/>
        <v>207</v>
      </c>
      <c r="D7" s="17">
        <f t="shared" si="2"/>
        <v>215.60000000000002</v>
      </c>
      <c r="E7" s="17">
        <f t="shared" si="2"/>
        <v>181.70000000000005</v>
      </c>
      <c r="F7" s="20">
        <f t="shared" si="2"/>
        <v>800.80000000000018</v>
      </c>
      <c r="G7" s="17">
        <f t="shared" si="2"/>
        <v>177.09999999999991</v>
      </c>
      <c r="H7" s="17">
        <f t="shared" si="2"/>
        <v>196.39999999999986</v>
      </c>
      <c r="I7" s="17">
        <f t="shared" ref="I7:U7" si="3">+I5-I6</f>
        <v>210.10000000000002</v>
      </c>
      <c r="J7" s="17">
        <f t="shared" si="3"/>
        <v>119.30000000000007</v>
      </c>
      <c r="K7" s="20">
        <f t="shared" si="3"/>
        <v>702.89999999999964</v>
      </c>
      <c r="L7" s="17">
        <f t="shared" si="3"/>
        <v>125</v>
      </c>
      <c r="M7" s="17">
        <f t="shared" si="3"/>
        <v>147.19999999999993</v>
      </c>
      <c r="N7" s="17">
        <f t="shared" si="3"/>
        <v>187.29999999999995</v>
      </c>
      <c r="O7" s="17">
        <f t="shared" si="3"/>
        <v>170.20000000000005</v>
      </c>
      <c r="P7" s="20">
        <f t="shared" si="3"/>
        <v>629.70000000000027</v>
      </c>
      <c r="Q7" s="17">
        <f t="shared" si="3"/>
        <v>165.5</v>
      </c>
      <c r="R7" s="17">
        <f>+R5-R6</f>
        <v>179.69999999999993</v>
      </c>
      <c r="S7" s="17">
        <f>+S5-S6</f>
        <v>168.70000000000005</v>
      </c>
      <c r="T7" s="17">
        <f t="shared" si="3"/>
        <v>141.5</v>
      </c>
      <c r="U7" s="20">
        <f t="shared" si="3"/>
        <v>655.40000000000009</v>
      </c>
      <c r="V7" s="17">
        <f>+V5-V6</f>
        <v>170</v>
      </c>
      <c r="W7" s="17">
        <f>+W5-W6</f>
        <v>181.90000000000009</v>
      </c>
      <c r="X7" s="17">
        <f>+X5-X6</f>
        <v>170.39999999999998</v>
      </c>
      <c r="Y7" s="17">
        <f t="shared" ref="Y7" si="4">+Y5-Y6</f>
        <v>145.60000000000002</v>
      </c>
      <c r="Z7" s="20">
        <f t="shared" ref="Z7" si="5">+Z5-Z6</f>
        <v>667.90000000000009</v>
      </c>
      <c r="AA7" s="17">
        <f>+AA5-AA6</f>
        <v>167.79999999999995</v>
      </c>
      <c r="AB7" s="17">
        <f>+AB5-AB6</f>
        <v>175.79999999999995</v>
      </c>
      <c r="AC7" s="17">
        <f>+AC5-AC6</f>
        <v>179.39999999999998</v>
      </c>
      <c r="AD7" s="17">
        <f t="shared" ref="AD7" si="6">+AD5-AD6</f>
        <v>172.59999999999991</v>
      </c>
      <c r="AE7" s="20">
        <f t="shared" ref="AE7" si="7">+AE5-AE6</f>
        <v>695.60000000000036</v>
      </c>
      <c r="AF7" s="17">
        <f>+AF5-AF6</f>
        <v>179.89999999999998</v>
      </c>
      <c r="AG7" s="17">
        <f>+AG5-AG6</f>
        <v>185.30000000000007</v>
      </c>
      <c r="AH7" s="17">
        <f>+AH5-AH6</f>
        <v>179.60000000000002</v>
      </c>
      <c r="AI7" s="17">
        <f t="shared" ref="AI7" si="8">+AI5-AI6</f>
        <v>165.10000000000002</v>
      </c>
      <c r="AJ7" s="20">
        <f t="shared" ref="AJ7" si="9">+AJ5-AJ6</f>
        <v>709.90000000000009</v>
      </c>
      <c r="AK7" s="17">
        <f>+AK5-AK6</f>
        <v>176.79999999999995</v>
      </c>
      <c r="AL7" s="17">
        <f>+AL5-AL6</f>
        <v>200.70000000000005</v>
      </c>
      <c r="AM7" s="17">
        <f>+AM5-AM6</f>
        <v>209.10000000000002</v>
      </c>
      <c r="AN7" s="17">
        <f t="shared" ref="AN7" si="10">+AN5-AN6</f>
        <v>203.79999999999995</v>
      </c>
      <c r="AO7" s="20">
        <f t="shared" ref="AO7" si="11">+AO5-AO6</f>
        <v>790.40000000000055</v>
      </c>
      <c r="AP7" s="17">
        <f>+AP5-AP6</f>
        <v>212.80000000000007</v>
      </c>
      <c r="AQ7" s="17">
        <f>+AQ5-AQ6</f>
        <v>224.49999999999989</v>
      </c>
      <c r="AR7" s="17">
        <f>+AR5-AR6</f>
        <v>227.09999999999991</v>
      </c>
      <c r="AS7" s="17">
        <f t="shared" ref="AS7" si="12">+AS5-AS6</f>
        <v>220.60000000000002</v>
      </c>
      <c r="AT7" s="72">
        <f t="shared" ref="AT7" si="13">+AT5-AT6</f>
        <v>884.99999999999955</v>
      </c>
      <c r="AU7" s="70">
        <f>+AU5-AU6</f>
        <v>233.30000000000007</v>
      </c>
      <c r="AV7" s="70">
        <f>+AV5-AV6</f>
        <v>240.69999999999982</v>
      </c>
      <c r="AW7" s="70">
        <f>+AW5-AW6</f>
        <v>222.69999999999993</v>
      </c>
      <c r="AX7" s="70">
        <f t="shared" ref="AX7:BC7" si="14">+AX5-AX6</f>
        <v>216.70000000000027</v>
      </c>
      <c r="AY7" s="72">
        <f t="shared" si="14"/>
        <v>913.39999999999964</v>
      </c>
      <c r="AZ7" s="74">
        <f t="shared" si="14"/>
        <v>226.49999999999989</v>
      </c>
      <c r="BA7" s="70">
        <f t="shared" si="14"/>
        <v>232.39999999999986</v>
      </c>
      <c r="BB7" s="70">
        <f t="shared" si="14"/>
        <v>223.19999999999982</v>
      </c>
      <c r="BC7" s="70">
        <f t="shared" si="14"/>
        <v>227.5</v>
      </c>
      <c r="BD7" s="72">
        <f>SUM(AZ7:BC7)</f>
        <v>909.59999999999957</v>
      </c>
      <c r="BE7" s="74">
        <f>+BE5-BE6</f>
        <v>223.29999999999995</v>
      </c>
      <c r="BF7" s="70">
        <f>+BF5-BF6</f>
        <v>243.45000000000016</v>
      </c>
      <c r="BG7" s="70">
        <f>+BG5-BG6</f>
        <v>232.29999999999984</v>
      </c>
      <c r="BH7" s="70">
        <f>+BH5-BH6</f>
        <v>223.70000000000005</v>
      </c>
      <c r="BI7" s="72">
        <f>BI5-BI6</f>
        <v>922.79999999999973</v>
      </c>
      <c r="BJ7" s="70">
        <f t="shared" ref="BJ7" si="15">+BJ5-BJ6</f>
        <v>235.89999999999986</v>
      </c>
      <c r="BK7" s="70">
        <f>+BK5-BK6</f>
        <v>257.80000000000007</v>
      </c>
      <c r="BL7" s="70">
        <f>+BL5-BL6</f>
        <v>266.90999999999985</v>
      </c>
      <c r="BM7" s="70">
        <f>+BM5-BM6</f>
        <v>258.10000000000014</v>
      </c>
      <c r="BN7" s="72">
        <f t="shared" ref="BN7" si="16">SUM(BJ7:BM7)</f>
        <v>1018.7099999999999</v>
      </c>
      <c r="BO7" s="70">
        <f t="shared" ref="BO7:BR7" si="17">+BO5-BO6</f>
        <v>220.69000000000005</v>
      </c>
      <c r="BP7" s="70">
        <f t="shared" si="17"/>
        <v>146.39999999999998</v>
      </c>
      <c r="BQ7" s="70">
        <f t="shared" si="17"/>
        <v>270.39999999999998</v>
      </c>
      <c r="BR7" s="70">
        <f t="shared" si="17"/>
        <v>267.10000000000014</v>
      </c>
      <c r="BS7" s="72">
        <f t="shared" ref="BS7" si="18">SUM(BO7:BR7)</f>
        <v>904.59000000000015</v>
      </c>
      <c r="BT7" s="70">
        <f t="shared" ref="BT7:BW7" si="19">+BT5-BT6</f>
        <v>247.50000000000011</v>
      </c>
      <c r="BU7" s="70">
        <f t="shared" si="19"/>
        <v>269.29999999999995</v>
      </c>
      <c r="BV7" s="70">
        <f t="shared" si="19"/>
        <v>256.10000000000014</v>
      </c>
      <c r="BW7" s="70">
        <f t="shared" si="19"/>
        <v>265.40000000000009</v>
      </c>
      <c r="BX7" s="72">
        <f>+BX5-BX6</f>
        <v>1038.3000000000006</v>
      </c>
      <c r="BY7" s="70">
        <f t="shared" ref="BY7:CB7" si="20">+BY5-BY6</f>
        <v>267.29999999999995</v>
      </c>
      <c r="BZ7" s="70">
        <f t="shared" si="20"/>
        <v>268.40000000000009</v>
      </c>
      <c r="CA7" s="17">
        <f t="shared" si="20"/>
        <v>230.5</v>
      </c>
      <c r="CB7" s="17">
        <f t="shared" si="20"/>
        <v>210.59999999999991</v>
      </c>
      <c r="CC7" s="72">
        <f>+CC5-CC6</f>
        <v>976.79999999999927</v>
      </c>
      <c r="CD7" s="70">
        <f t="shared" ref="CD7:CF7" si="21">+CD5-CD6</f>
        <v>218.59999999999991</v>
      </c>
      <c r="CE7" s="17">
        <f t="shared" si="21"/>
        <v>221.10000000000002</v>
      </c>
      <c r="CF7" s="17">
        <f t="shared" si="21"/>
        <v>214.30000000000007</v>
      </c>
      <c r="CG7" s="17">
        <f t="shared" ref="CG7" si="22">+CG5-CG6</f>
        <v>199.79999999999995</v>
      </c>
      <c r="CH7" s="72">
        <f>+CH5-CH6</f>
        <v>853.80000000000018</v>
      </c>
      <c r="CI7" s="70">
        <f t="shared" ref="CI7:CL7" si="23">+CI5-CI6</f>
        <v>188.70000000000005</v>
      </c>
      <c r="CJ7" s="70">
        <f t="shared" si="23"/>
        <v>187.89999999999986</v>
      </c>
      <c r="CK7" s="17">
        <f t="shared" si="23"/>
        <v>201.39999999999998</v>
      </c>
      <c r="CL7" s="17">
        <f t="shared" si="23"/>
        <v>184.30000000000018</v>
      </c>
      <c r="CM7" s="72">
        <f>+CM5-CM6</f>
        <v>762.30000000000018</v>
      </c>
      <c r="CN7" s="70">
        <f t="shared" ref="CN7:CQ7" si="24">+CN5-CN6</f>
        <v>190.5</v>
      </c>
      <c r="CO7" s="70">
        <f t="shared" si="24"/>
        <v>192.60000000000002</v>
      </c>
      <c r="CP7" s="17">
        <f t="shared" si="24"/>
        <v>195.40000000000009</v>
      </c>
      <c r="CQ7" s="17">
        <f t="shared" si="24"/>
        <v>169.20000000000005</v>
      </c>
      <c r="CR7" s="72">
        <f>+CR5-CR6</f>
        <v>747.69999999999982</v>
      </c>
    </row>
    <row r="8" spans="1:96" x14ac:dyDescent="0.2">
      <c r="A8" s="7" t="s">
        <v>90</v>
      </c>
      <c r="B8" s="33">
        <f t="shared" ref="B8:H8" si="25">+B7/B5</f>
        <v>0.18757159221076738</v>
      </c>
      <c r="C8" s="33">
        <f t="shared" si="25"/>
        <v>0.19336758524054179</v>
      </c>
      <c r="D8" s="33">
        <f t="shared" si="25"/>
        <v>0.1973997436366966</v>
      </c>
      <c r="E8" s="33">
        <f t="shared" si="25"/>
        <v>0.17476195056266233</v>
      </c>
      <c r="F8" s="34">
        <f t="shared" si="25"/>
        <v>0.18842352941176474</v>
      </c>
      <c r="G8" s="36">
        <f t="shared" si="25"/>
        <v>0.17740158269057391</v>
      </c>
      <c r="H8" s="36">
        <f t="shared" si="25"/>
        <v>0.1847427335151913</v>
      </c>
      <c r="I8" s="33">
        <f t="shared" ref="I8:U8" si="26">+I7/I5</f>
        <v>0.18556792086203852</v>
      </c>
      <c r="J8" s="33">
        <f t="shared" si="26"/>
        <v>0.13518413597733719</v>
      </c>
      <c r="K8" s="34">
        <f t="shared" si="26"/>
        <v>0.17244424817840576</v>
      </c>
      <c r="L8" s="36">
        <f t="shared" si="26"/>
        <v>0.17407046372371535</v>
      </c>
      <c r="M8" s="36">
        <f t="shared" si="26"/>
        <v>0.19434908898864528</v>
      </c>
      <c r="N8" s="36">
        <f t="shared" si="26"/>
        <v>0.23126311890356829</v>
      </c>
      <c r="O8" s="36">
        <f t="shared" si="26"/>
        <v>0.22112511368065485</v>
      </c>
      <c r="P8" s="37">
        <f t="shared" si="26"/>
        <v>0.20611436614186121</v>
      </c>
      <c r="Q8" s="36">
        <f t="shared" si="26"/>
        <v>0.20271925526702597</v>
      </c>
      <c r="R8" s="36">
        <f>+R7/R5</f>
        <v>0.20553585725723428</v>
      </c>
      <c r="S8" s="36">
        <f>+S7/S5</f>
        <v>0.19469128678592043</v>
      </c>
      <c r="T8" s="36">
        <f t="shared" si="26"/>
        <v>0.17645591719665793</v>
      </c>
      <c r="U8" s="37">
        <f t="shared" si="26"/>
        <v>0.19511178589503145</v>
      </c>
      <c r="V8" s="36">
        <f>+V7/V5</f>
        <v>0.18977450323732978</v>
      </c>
      <c r="W8" s="36">
        <f>+W7/W5</f>
        <v>0.19244604316546771</v>
      </c>
      <c r="X8" s="36">
        <f>+X7/X5</f>
        <v>0.18110319906472525</v>
      </c>
      <c r="Y8" s="36">
        <f t="shared" ref="Y8" si="27">+Y7/Y5</f>
        <v>0.17047184170471844</v>
      </c>
      <c r="Z8" s="37">
        <f t="shared" ref="Z8" si="28">+Z7/Z5</f>
        <v>0.18369086908690871</v>
      </c>
      <c r="AA8" s="36">
        <f>+AA7/AA5</f>
        <v>0.19166190748143913</v>
      </c>
      <c r="AB8" s="36">
        <f>+AB7/AB5</f>
        <v>0.20269802836388789</v>
      </c>
      <c r="AC8" s="36">
        <f>+AC7/AC5</f>
        <v>0.20790358094796613</v>
      </c>
      <c r="AD8" s="36">
        <f>+AD7/AD5</f>
        <v>0.21340257171117696</v>
      </c>
      <c r="AE8" s="37">
        <f t="shared" ref="AE8" si="29">+AE7/AE5</f>
        <v>0.20371943183482219</v>
      </c>
      <c r="AF8" s="36">
        <f>+AF7/AF5</f>
        <v>0.20899163568773232</v>
      </c>
      <c r="AG8" s="36">
        <f>+AG7/AG5</f>
        <v>0.21066393815370629</v>
      </c>
      <c r="AH8" s="36">
        <f>+AH7/AH5</f>
        <v>0.20464904284412036</v>
      </c>
      <c r="AI8" s="36">
        <f>+AI7/AI5</f>
        <v>0.19215549348230915</v>
      </c>
      <c r="AJ8" s="37">
        <f t="shared" ref="AJ8" si="30">+AJ7/AJ5</f>
        <v>0.2041585183480962</v>
      </c>
      <c r="AK8" s="36">
        <f>+AK7/AK5</f>
        <v>0.20194174757281549</v>
      </c>
      <c r="AL8" s="36">
        <f>+AL7/AL5</f>
        <v>0.20991528082836527</v>
      </c>
      <c r="AM8" s="36">
        <f>+AM7/AM5</f>
        <v>0.2096450772007219</v>
      </c>
      <c r="AN8" s="36">
        <f>+AN7/AN5</f>
        <v>0.21378369873072481</v>
      </c>
      <c r="AO8" s="37">
        <f t="shared" ref="AO8" si="31">+AO7/AO5</f>
        <v>0.20897337598815549</v>
      </c>
      <c r="AP8" s="75">
        <f>+AP7/AP5</f>
        <v>0.22024425584765064</v>
      </c>
      <c r="AQ8" s="75">
        <f>+AQ7/AQ5</f>
        <v>0.22510779103579653</v>
      </c>
      <c r="AR8" s="75">
        <f>+AR7/AR5</f>
        <v>0.22505202655831921</v>
      </c>
      <c r="AS8" s="75">
        <f>+AS7/AS5</f>
        <v>0.23353800550497567</v>
      </c>
      <c r="AT8" s="68">
        <f t="shared" ref="AT8" si="32">+AT7/AT5</f>
        <v>0.22592668232410895</v>
      </c>
      <c r="AU8" s="75">
        <f>+AU7/AU5</f>
        <v>0.24861466325660708</v>
      </c>
      <c r="AV8" s="75">
        <f>+AV7/AV5</f>
        <v>0.25101679007195726</v>
      </c>
      <c r="AW8" s="75">
        <f>+AW7/AW5</f>
        <v>0.23469280219201175</v>
      </c>
      <c r="AX8" s="75">
        <f>+AX7/AX5</f>
        <v>0.23979196636051817</v>
      </c>
      <c r="AY8" s="68">
        <f t="shared" ref="AY8:BC8" si="33">+AY7/AY5</f>
        <v>0.24357982879543447</v>
      </c>
      <c r="AZ8" s="76">
        <f t="shared" si="33"/>
        <v>0.2358637925648234</v>
      </c>
      <c r="BA8" s="75">
        <f t="shared" si="33"/>
        <v>0.23491357525523085</v>
      </c>
      <c r="BB8" s="75">
        <f t="shared" si="33"/>
        <v>0.22105575913637696</v>
      </c>
      <c r="BC8" s="75">
        <f t="shared" si="33"/>
        <v>0.23108176739461656</v>
      </c>
      <c r="BD8" s="68">
        <f>+BD7/BD5</f>
        <v>0.23064049901110592</v>
      </c>
      <c r="BE8" s="76">
        <f t="shared" ref="BE8" si="34">+BE7/BE5</f>
        <v>0.21704898911353029</v>
      </c>
      <c r="BF8" s="75">
        <f t="shared" ref="BF8:BG8" si="35">+BF7/BF5</f>
        <v>0.22082634133067272</v>
      </c>
      <c r="BG8" s="75">
        <f t="shared" si="35"/>
        <v>0.21282638570774148</v>
      </c>
      <c r="BH8" s="75">
        <f t="shared" ref="BH8" si="36">+BH7/BH5</f>
        <v>0.21371930830228339</v>
      </c>
      <c r="BI8" s="68">
        <f>+BI7/BI5</f>
        <v>0.21613772104461873</v>
      </c>
      <c r="BJ8" s="75">
        <f t="shared" ref="BJ8:BK8" si="37">+BJ7/BJ5</f>
        <v>0.20422474244654132</v>
      </c>
      <c r="BK8" s="75">
        <f t="shared" si="37"/>
        <v>0.21249587866798555</v>
      </c>
      <c r="BL8" s="75">
        <f t="shared" ref="BL8:BM8" si="38">+BL7/BL5</f>
        <v>0.21537158073105775</v>
      </c>
      <c r="BM8" s="75">
        <f t="shared" si="38"/>
        <v>0.22543453576731604</v>
      </c>
      <c r="BN8" s="68">
        <f>+BN7/BN5</f>
        <v>0.21435244608100998</v>
      </c>
      <c r="BO8" s="75">
        <f t="shared" ref="BO8:BR8" si="39">+BO7/BO5</f>
        <v>0.21108762398492578</v>
      </c>
      <c r="BP8" s="75">
        <f t="shared" si="39"/>
        <v>0.17323393681221155</v>
      </c>
      <c r="BQ8" s="75">
        <f t="shared" si="39"/>
        <v>0.2239152037098377</v>
      </c>
      <c r="BR8" s="75">
        <f t="shared" si="39"/>
        <v>0.22597292724196288</v>
      </c>
      <c r="BS8" s="68">
        <f>+BS7/BS5</f>
        <v>0.21134342167053333</v>
      </c>
      <c r="BT8" s="75">
        <f t="shared" ref="BT8:BW8" si="40">+BT7/BT5</f>
        <v>0.2150490920149449</v>
      </c>
      <c r="BU8" s="75">
        <f t="shared" si="40"/>
        <v>0.21211405166981726</v>
      </c>
      <c r="BV8" s="75">
        <f t="shared" si="40"/>
        <v>0.19413280776228026</v>
      </c>
      <c r="BW8" s="75">
        <f t="shared" si="40"/>
        <v>0.19911471228149155</v>
      </c>
      <c r="BX8" s="68">
        <f t="shared" ref="BX8:CB8" si="41">+BX7/BX5</f>
        <v>0.20468793123841827</v>
      </c>
      <c r="BY8" s="75">
        <f t="shared" si="41"/>
        <v>0.2021477728200862</v>
      </c>
      <c r="BZ8" s="75">
        <f t="shared" si="41"/>
        <v>0.20116923999400396</v>
      </c>
      <c r="CA8" s="75">
        <f t="shared" si="41"/>
        <v>0.17807478368355995</v>
      </c>
      <c r="CB8" s="75">
        <f t="shared" si="41"/>
        <v>0.17611640742599091</v>
      </c>
      <c r="CC8" s="68">
        <f t="shared" ref="CC8:CF8" si="42">+CC7/CC5</f>
        <v>0.1897915168943205</v>
      </c>
      <c r="CD8" s="75">
        <f t="shared" si="42"/>
        <v>0.18012524719841788</v>
      </c>
      <c r="CE8" s="75">
        <f t="shared" si="42"/>
        <v>0.18105142482803802</v>
      </c>
      <c r="CF8" s="75">
        <f t="shared" si="42"/>
        <v>0.1823209120299473</v>
      </c>
      <c r="CG8" s="75">
        <f t="shared" ref="CG8" si="43">+CG7/CG5</f>
        <v>0.17917675544794187</v>
      </c>
      <c r="CH8" s="68">
        <f t="shared" ref="CH8:CL8" si="44">+CH7/CH5</f>
        <v>0.18068694051171358</v>
      </c>
      <c r="CI8" s="75">
        <f t="shared" si="44"/>
        <v>0.17203026711641903</v>
      </c>
      <c r="CJ8" s="75">
        <f t="shared" si="44"/>
        <v>0.16648945596314008</v>
      </c>
      <c r="CK8" s="75">
        <f t="shared" si="44"/>
        <v>0.18280838703821364</v>
      </c>
      <c r="CL8" s="75">
        <f t="shared" si="44"/>
        <v>0.17446043165467642</v>
      </c>
      <c r="CM8" s="68">
        <f t="shared" ref="CM8:CQ8" si="45">+CM7/CM5</f>
        <v>0.17389816589104848</v>
      </c>
      <c r="CN8" s="75">
        <f t="shared" si="45"/>
        <v>0.18638098033460523</v>
      </c>
      <c r="CO8" s="75">
        <f t="shared" si="45"/>
        <v>0.18204158790170136</v>
      </c>
      <c r="CP8" s="75">
        <f t="shared" si="45"/>
        <v>0.18853724430721736</v>
      </c>
      <c r="CQ8" s="75">
        <f t="shared" si="45"/>
        <v>0.18026848497762629</v>
      </c>
      <c r="CR8" s="68">
        <f t="shared" ref="CR8" si="46">+CR7/CR5</f>
        <v>0.18438509531207611</v>
      </c>
    </row>
    <row r="9" spans="1:96" x14ac:dyDescent="0.2">
      <c r="A9" s="1" t="s">
        <v>91</v>
      </c>
      <c r="B9" s="26">
        <f>100.4-3</f>
        <v>97.4</v>
      </c>
      <c r="C9" s="26">
        <f>113.4-3</f>
        <v>110.4</v>
      </c>
      <c r="D9" s="26">
        <f>105.9-3</f>
        <v>102.9</v>
      </c>
      <c r="E9" s="26">
        <f>110-3</f>
        <v>107</v>
      </c>
      <c r="F9" s="21">
        <f>SUM(B9:E9)</f>
        <v>417.70000000000005</v>
      </c>
      <c r="G9" s="26">
        <f>103.9</f>
        <v>103.9</v>
      </c>
      <c r="H9" s="26">
        <f>107.6</f>
        <v>107.6</v>
      </c>
      <c r="I9" s="26">
        <v>105.5</v>
      </c>
      <c r="J9" s="26">
        <f>106.2-7.1</f>
        <v>99.100000000000009</v>
      </c>
      <c r="K9" s="21">
        <f>SUM(G9:J9)</f>
        <v>416.1</v>
      </c>
      <c r="L9" s="26">
        <f>101.9-8.5</f>
        <v>93.4</v>
      </c>
      <c r="M9" s="26">
        <v>89</v>
      </c>
      <c r="N9" s="26">
        <v>84.8</v>
      </c>
      <c r="O9" s="26">
        <v>87.3</v>
      </c>
      <c r="P9" s="21">
        <f>SUM(L9:O9)</f>
        <v>354.5</v>
      </c>
      <c r="Q9" s="26">
        <f>92.3</f>
        <v>92.3</v>
      </c>
      <c r="R9" s="26">
        <v>88.8</v>
      </c>
      <c r="S9" s="26">
        <v>87.6</v>
      </c>
      <c r="T9" s="26">
        <v>85.6</v>
      </c>
      <c r="U9" s="21">
        <f>SUM(Q9:T9)</f>
        <v>354.29999999999995</v>
      </c>
      <c r="V9" s="26">
        <v>95.8</v>
      </c>
      <c r="W9" s="26">
        <v>98.1</v>
      </c>
      <c r="X9" s="26">
        <v>93.9</v>
      </c>
      <c r="Y9" s="26">
        <v>94.3</v>
      </c>
      <c r="Z9" s="21">
        <f>SUM(V9:Y9)</f>
        <v>382.09999999999997</v>
      </c>
      <c r="AA9" s="26">
        <v>89.5</v>
      </c>
      <c r="AB9" s="26">
        <v>84.3</v>
      </c>
      <c r="AC9" s="26">
        <v>86.5</v>
      </c>
      <c r="AD9" s="26">
        <v>87.8</v>
      </c>
      <c r="AE9" s="21">
        <f>SUM(AA9:AD9)</f>
        <v>348.1</v>
      </c>
      <c r="AF9" s="26">
        <v>99.4</v>
      </c>
      <c r="AG9" s="26">
        <v>92</v>
      </c>
      <c r="AH9" s="26">
        <v>85.4</v>
      </c>
      <c r="AI9" s="26">
        <v>91.1</v>
      </c>
      <c r="AJ9" s="21">
        <f>SUM(AF9:AI9)</f>
        <v>367.9</v>
      </c>
      <c r="AK9" s="26">
        <v>92.1</v>
      </c>
      <c r="AL9" s="26">
        <v>94.1</v>
      </c>
      <c r="AM9" s="26">
        <f>131.4-31.5</f>
        <v>99.9</v>
      </c>
      <c r="AN9" s="26">
        <f>132-22</f>
        <v>110</v>
      </c>
      <c r="AO9" s="21">
        <f>SUM(AK9:AN9)</f>
        <v>396.1</v>
      </c>
      <c r="AP9" s="26">
        <v>97.5</v>
      </c>
      <c r="AQ9" s="26">
        <f>106.6-1.5</f>
        <v>105.1</v>
      </c>
      <c r="AR9" s="26">
        <v>96.9</v>
      </c>
      <c r="AS9" s="26">
        <f>115.9-4-3.9</f>
        <v>108</v>
      </c>
      <c r="AT9" s="88">
        <f>SUM(AP9:AS9)</f>
        <v>407.5</v>
      </c>
      <c r="AU9" s="91">
        <v>105.1</v>
      </c>
      <c r="AV9" s="91">
        <f>99.7+6.9</f>
        <v>106.60000000000001</v>
      </c>
      <c r="AW9" s="91">
        <v>93.9</v>
      </c>
      <c r="AX9" s="91">
        <v>97</v>
      </c>
      <c r="AY9" s="88">
        <f>SUM(AU9:AX9)</f>
        <v>402.6</v>
      </c>
      <c r="AZ9" s="92">
        <v>106.1</v>
      </c>
      <c r="BA9" s="91">
        <v>104.7</v>
      </c>
      <c r="BB9" s="91">
        <v>95.4</v>
      </c>
      <c r="BC9" s="91">
        <f>94.3-2.3</f>
        <v>92</v>
      </c>
      <c r="BD9" s="88">
        <f>SUM(AZ9:BC9)</f>
        <v>398.20000000000005</v>
      </c>
      <c r="BE9" s="92">
        <v>104.7</v>
      </c>
      <c r="BF9" s="91">
        <v>107.8</v>
      </c>
      <c r="BG9" s="91">
        <v>100.7</v>
      </c>
      <c r="BH9" s="91">
        <f>111.9-15.9-3.8</f>
        <v>92.2</v>
      </c>
      <c r="BI9" s="88">
        <f>SUM(BE9:BH9)</f>
        <v>405.4</v>
      </c>
      <c r="BJ9" s="91">
        <f>118.6-0.9</f>
        <v>117.69999999999999</v>
      </c>
      <c r="BK9" s="91">
        <v>118.3</v>
      </c>
      <c r="BL9" s="91">
        <v>115.2</v>
      </c>
      <c r="BM9" s="91">
        <v>117.6</v>
      </c>
      <c r="BN9" s="88">
        <f>SUM(BJ9:BM9)</f>
        <v>468.79999999999995</v>
      </c>
      <c r="BO9" s="91">
        <f>117.8-8.4</f>
        <v>109.39999999999999</v>
      </c>
      <c r="BP9" s="91">
        <v>97.2</v>
      </c>
      <c r="BQ9" s="91">
        <v>105.6</v>
      </c>
      <c r="BR9" s="91">
        <v>103.8</v>
      </c>
      <c r="BS9" s="88">
        <f>SUM(BO9:BR9)</f>
        <v>416</v>
      </c>
      <c r="BT9" s="91">
        <v>106.3</v>
      </c>
      <c r="BU9" s="91">
        <v>112.6</v>
      </c>
      <c r="BV9" s="91">
        <v>103.6</v>
      </c>
      <c r="BW9" s="91">
        <v>99.6</v>
      </c>
      <c r="BX9" s="88">
        <f>SUM(BT9:BW9)</f>
        <v>422.1</v>
      </c>
      <c r="BY9" s="91">
        <v>111.7</v>
      </c>
      <c r="BZ9" s="91">
        <v>105.4</v>
      </c>
      <c r="CA9" s="26">
        <v>100.4</v>
      </c>
      <c r="CB9" s="26">
        <v>109.8</v>
      </c>
      <c r="CC9" s="88">
        <f>SUM(BY9:CB9)</f>
        <v>427.3</v>
      </c>
      <c r="CD9" s="91">
        <v>116</v>
      </c>
      <c r="CE9" s="26">
        <v>119.2</v>
      </c>
      <c r="CF9" s="26">
        <v>109.1</v>
      </c>
      <c r="CG9" s="26">
        <v>121.1</v>
      </c>
      <c r="CH9" s="88">
        <f>SUM(CD9:CG9)</f>
        <v>465.4</v>
      </c>
      <c r="CI9" s="91">
        <f>125.9-0.5</f>
        <v>125.4</v>
      </c>
      <c r="CJ9" s="91">
        <f>131.5-5-3.7</f>
        <v>122.8</v>
      </c>
      <c r="CK9" s="26">
        <f>127-6.2</f>
        <v>120.8</v>
      </c>
      <c r="CL9" s="26">
        <f>124.4-4.5</f>
        <v>119.9</v>
      </c>
      <c r="CM9" s="88">
        <f>SUM(CI9:CL9)</f>
        <v>488.9</v>
      </c>
      <c r="CN9" s="91">
        <f>123.6-1.7</f>
        <v>121.89999999999999</v>
      </c>
      <c r="CO9" s="91">
        <v>118.4</v>
      </c>
      <c r="CP9" s="26">
        <v>124.5</v>
      </c>
      <c r="CQ9" s="26">
        <f>121.8-0.2-3.4</f>
        <v>118.19999999999999</v>
      </c>
      <c r="CR9" s="88">
        <f>SUM(CN9:CQ9)</f>
        <v>483</v>
      </c>
    </row>
    <row r="10" spans="1:96" x14ac:dyDescent="0.2">
      <c r="A10" s="6" t="s">
        <v>92</v>
      </c>
      <c r="B10" s="17">
        <f t="shared" ref="B10:H10" si="47">+B7-B9</f>
        <v>99.099999999999881</v>
      </c>
      <c r="C10" s="17">
        <f t="shared" si="47"/>
        <v>96.6</v>
      </c>
      <c r="D10" s="17">
        <f t="shared" si="47"/>
        <v>112.70000000000002</v>
      </c>
      <c r="E10" s="17">
        <f t="shared" si="47"/>
        <v>74.700000000000045</v>
      </c>
      <c r="F10" s="20">
        <f t="shared" si="47"/>
        <v>383.10000000000014</v>
      </c>
      <c r="G10" s="17">
        <f t="shared" si="47"/>
        <v>73.199999999999903</v>
      </c>
      <c r="H10" s="17">
        <f t="shared" si="47"/>
        <v>88.799999999999869</v>
      </c>
      <c r="I10" s="17">
        <f t="shared" ref="I10:U10" si="48">+I7-I9</f>
        <v>104.60000000000002</v>
      </c>
      <c r="J10" s="17">
        <f t="shared" si="48"/>
        <v>20.20000000000006</v>
      </c>
      <c r="K10" s="20">
        <f t="shared" si="48"/>
        <v>286.79999999999961</v>
      </c>
      <c r="L10" s="17">
        <f t="shared" si="48"/>
        <v>31.599999999999994</v>
      </c>
      <c r="M10" s="17">
        <f t="shared" si="48"/>
        <v>58.199999999999932</v>
      </c>
      <c r="N10" s="17">
        <f t="shared" si="48"/>
        <v>102.49999999999996</v>
      </c>
      <c r="O10" s="17">
        <f t="shared" si="48"/>
        <v>82.900000000000048</v>
      </c>
      <c r="P10" s="20">
        <f t="shared" si="48"/>
        <v>275.20000000000027</v>
      </c>
      <c r="Q10" s="17">
        <f t="shared" si="48"/>
        <v>73.2</v>
      </c>
      <c r="R10" s="17">
        <f>+R7-R9</f>
        <v>90.899999999999935</v>
      </c>
      <c r="S10" s="17">
        <f>+S7-S9</f>
        <v>81.100000000000051</v>
      </c>
      <c r="T10" s="17">
        <f t="shared" si="48"/>
        <v>55.900000000000006</v>
      </c>
      <c r="U10" s="20">
        <f t="shared" si="48"/>
        <v>301.10000000000014</v>
      </c>
      <c r="V10" s="17">
        <f>+V7-V9</f>
        <v>74.2</v>
      </c>
      <c r="W10" s="17">
        <f>+W7-W9</f>
        <v>83.800000000000097</v>
      </c>
      <c r="X10" s="17">
        <f>+X7-X9</f>
        <v>76.499999999999972</v>
      </c>
      <c r="Y10" s="17">
        <f t="shared" ref="Y10" si="49">+Y7-Y9</f>
        <v>51.300000000000026</v>
      </c>
      <c r="Z10" s="20">
        <f t="shared" ref="Z10" si="50">+Z7-Z9</f>
        <v>285.80000000000013</v>
      </c>
      <c r="AA10" s="17">
        <f>+AA7-AA9</f>
        <v>78.299999999999955</v>
      </c>
      <c r="AB10" s="17">
        <f>+AB7-AB9</f>
        <v>91.499999999999957</v>
      </c>
      <c r="AC10" s="17">
        <f>+AC7-AC9</f>
        <v>92.899999999999977</v>
      </c>
      <c r="AD10" s="17">
        <f t="shared" ref="AD10" si="51">+AD7-AD9</f>
        <v>84.799999999999912</v>
      </c>
      <c r="AE10" s="20">
        <f t="shared" ref="AE10" si="52">+AE7-AE9</f>
        <v>347.50000000000034</v>
      </c>
      <c r="AF10" s="17">
        <f>+AF7-AF9</f>
        <v>80.499999999999972</v>
      </c>
      <c r="AG10" s="17">
        <f>+AG7-AG9</f>
        <v>93.300000000000068</v>
      </c>
      <c r="AH10" s="17">
        <f>+AH7-AH9</f>
        <v>94.200000000000017</v>
      </c>
      <c r="AI10" s="17">
        <f t="shared" ref="AI10" si="53">+AI7-AI9</f>
        <v>74.000000000000028</v>
      </c>
      <c r="AJ10" s="20">
        <f t="shared" ref="AJ10" si="54">+AJ7-AJ9</f>
        <v>342.00000000000011</v>
      </c>
      <c r="AK10" s="17">
        <f>+AK7-AK9</f>
        <v>84.69999999999996</v>
      </c>
      <c r="AL10" s="17">
        <f>+AL7-AL9</f>
        <v>106.60000000000005</v>
      </c>
      <c r="AM10" s="17">
        <f>+AM7-AM9</f>
        <v>109.20000000000002</v>
      </c>
      <c r="AN10" s="17">
        <f t="shared" ref="AN10" si="55">+AN7-AN9</f>
        <v>93.799999999999955</v>
      </c>
      <c r="AO10" s="20">
        <f t="shared" ref="AO10" si="56">+AO7-AO9</f>
        <v>394.30000000000052</v>
      </c>
      <c r="AP10" s="17">
        <f>+AP7-AP9</f>
        <v>115.30000000000007</v>
      </c>
      <c r="AQ10" s="17">
        <f>+AQ7-AQ9</f>
        <v>119.39999999999989</v>
      </c>
      <c r="AR10" s="17">
        <f>+AR7-AR9</f>
        <v>130.1999999999999</v>
      </c>
      <c r="AS10" s="17">
        <f t="shared" ref="AS10" si="57">+AS7-AS9</f>
        <v>112.60000000000002</v>
      </c>
      <c r="AT10" s="87">
        <f t="shared" ref="AT10" si="58">+AT7-AT9</f>
        <v>477.49999999999955</v>
      </c>
      <c r="AU10" s="93">
        <f>+AU7-AU9</f>
        <v>128.20000000000007</v>
      </c>
      <c r="AV10" s="93">
        <f>+AV7-AV9</f>
        <v>134.0999999999998</v>
      </c>
      <c r="AW10" s="93">
        <f>+AW7-AW9</f>
        <v>128.79999999999993</v>
      </c>
      <c r="AX10" s="93">
        <f t="shared" ref="AX10:BC10" si="59">+AX7-AX9</f>
        <v>119.70000000000027</v>
      </c>
      <c r="AY10" s="87">
        <f t="shared" si="59"/>
        <v>510.79999999999961</v>
      </c>
      <c r="AZ10" s="94">
        <f t="shared" si="59"/>
        <v>120.39999999999989</v>
      </c>
      <c r="BA10" s="93">
        <f t="shared" si="59"/>
        <v>127.69999999999986</v>
      </c>
      <c r="BB10" s="93">
        <f t="shared" si="59"/>
        <v>127.79999999999981</v>
      </c>
      <c r="BC10" s="93">
        <f t="shared" si="59"/>
        <v>135.5</v>
      </c>
      <c r="BD10" s="87">
        <f>BD7-BD9</f>
        <v>511.39999999999952</v>
      </c>
      <c r="BE10" s="94">
        <f t="shared" ref="BE10" si="60">+BE7-BE9</f>
        <v>118.59999999999995</v>
      </c>
      <c r="BF10" s="93">
        <f t="shared" ref="BF10:BG10" si="61">+BF7-BF9</f>
        <v>135.65000000000015</v>
      </c>
      <c r="BG10" s="93">
        <f t="shared" si="61"/>
        <v>131.59999999999985</v>
      </c>
      <c r="BH10" s="93">
        <f t="shared" ref="BH10" si="62">+BH7-BH9</f>
        <v>131.50000000000006</v>
      </c>
      <c r="BI10" s="87">
        <f>BI7-BI9</f>
        <v>517.39999999999975</v>
      </c>
      <c r="BJ10" s="93">
        <f t="shared" ref="BJ10:BM10" si="63">+BJ7-BJ9</f>
        <v>118.19999999999987</v>
      </c>
      <c r="BK10" s="93">
        <f t="shared" si="63"/>
        <v>139.50000000000006</v>
      </c>
      <c r="BL10" s="93">
        <f t="shared" si="63"/>
        <v>151.70999999999987</v>
      </c>
      <c r="BM10" s="93">
        <f t="shared" si="63"/>
        <v>140.50000000000014</v>
      </c>
      <c r="BN10" s="87">
        <f>BN7-BN9</f>
        <v>549.91</v>
      </c>
      <c r="BO10" s="93">
        <f t="shared" ref="BO10:BR10" si="64">+BO7-BO9</f>
        <v>111.29000000000006</v>
      </c>
      <c r="BP10" s="93">
        <f t="shared" si="64"/>
        <v>49.199999999999974</v>
      </c>
      <c r="BQ10" s="93">
        <f>+BQ7-BQ9</f>
        <v>164.79999999999998</v>
      </c>
      <c r="BR10" s="93">
        <f t="shared" si="64"/>
        <v>163.30000000000013</v>
      </c>
      <c r="BS10" s="87">
        <f>BS7-BS9</f>
        <v>488.59000000000015</v>
      </c>
      <c r="BT10" s="93">
        <f t="shared" ref="BT10:BW10" si="65">+BT7-BT9</f>
        <v>141.2000000000001</v>
      </c>
      <c r="BU10" s="93">
        <f t="shared" si="65"/>
        <v>156.69999999999996</v>
      </c>
      <c r="BV10" s="93">
        <f t="shared" si="65"/>
        <v>152.50000000000014</v>
      </c>
      <c r="BW10" s="93">
        <f t="shared" si="65"/>
        <v>165.8000000000001</v>
      </c>
      <c r="BX10" s="87">
        <f t="shared" ref="BX10:CB10" si="66">+BX7-BX9</f>
        <v>616.20000000000061</v>
      </c>
      <c r="BY10" s="93">
        <f t="shared" si="66"/>
        <v>155.59999999999997</v>
      </c>
      <c r="BZ10" s="93">
        <f t="shared" si="66"/>
        <v>163.00000000000009</v>
      </c>
      <c r="CA10" s="17">
        <f t="shared" si="66"/>
        <v>130.1</v>
      </c>
      <c r="CB10" s="17">
        <f t="shared" si="66"/>
        <v>100.79999999999991</v>
      </c>
      <c r="CC10" s="87">
        <f t="shared" ref="CC10:CM10" si="67">+CC7-CC9</f>
        <v>549.49999999999932</v>
      </c>
      <c r="CD10" s="93">
        <f t="shared" si="67"/>
        <v>102.59999999999991</v>
      </c>
      <c r="CE10" s="17">
        <f t="shared" si="67"/>
        <v>101.90000000000002</v>
      </c>
      <c r="CF10" s="17">
        <f t="shared" si="67"/>
        <v>105.20000000000007</v>
      </c>
      <c r="CG10" s="17">
        <f t="shared" si="67"/>
        <v>78.69999999999996</v>
      </c>
      <c r="CH10" s="87">
        <f t="shared" ref="CH10" si="68">+CH7-CH9</f>
        <v>388.4000000000002</v>
      </c>
      <c r="CI10" s="93">
        <f t="shared" si="67"/>
        <v>63.30000000000004</v>
      </c>
      <c r="CJ10" s="93">
        <f t="shared" si="67"/>
        <v>65.099999999999866</v>
      </c>
      <c r="CK10" s="17">
        <f t="shared" si="67"/>
        <v>80.59999999999998</v>
      </c>
      <c r="CL10" s="17">
        <f t="shared" si="67"/>
        <v>64.400000000000176</v>
      </c>
      <c r="CM10" s="87">
        <f t="shared" si="67"/>
        <v>273.4000000000002</v>
      </c>
      <c r="CN10" s="93">
        <f t="shared" ref="CN10:CR10" si="69">+CN7-CN9</f>
        <v>68.600000000000009</v>
      </c>
      <c r="CO10" s="93">
        <f t="shared" si="69"/>
        <v>74.200000000000017</v>
      </c>
      <c r="CP10" s="17">
        <f t="shared" si="69"/>
        <v>70.900000000000091</v>
      </c>
      <c r="CQ10" s="17">
        <f t="shared" si="69"/>
        <v>51.000000000000057</v>
      </c>
      <c r="CR10" s="87">
        <f t="shared" si="69"/>
        <v>264.69999999999982</v>
      </c>
    </row>
    <row r="11" spans="1:96" ht="6" customHeight="1" x14ac:dyDescent="0.2">
      <c r="A11" s="6"/>
      <c r="B11" s="17"/>
      <c r="C11" s="17"/>
      <c r="D11" s="17"/>
      <c r="E11" s="17"/>
      <c r="F11" s="20"/>
      <c r="G11" s="17"/>
      <c r="H11" s="17"/>
      <c r="I11" s="17"/>
      <c r="J11" s="17"/>
      <c r="K11" s="20"/>
      <c r="L11" s="17"/>
      <c r="M11" s="17"/>
      <c r="N11" s="17"/>
      <c r="O11" s="17"/>
      <c r="P11" s="20"/>
      <c r="Q11" s="17"/>
      <c r="R11" s="17"/>
      <c r="S11" s="17"/>
      <c r="T11" s="17"/>
      <c r="U11" s="20"/>
      <c r="V11" s="17"/>
      <c r="W11" s="17"/>
      <c r="X11" s="17"/>
      <c r="Y11" s="17"/>
      <c r="Z11" s="20"/>
      <c r="AA11" s="17"/>
      <c r="AB11" s="17"/>
      <c r="AC11" s="17"/>
      <c r="AD11" s="17"/>
      <c r="AE11" s="20"/>
      <c r="AF11" s="17"/>
      <c r="AG11" s="17"/>
      <c r="AH11" s="17"/>
      <c r="AI11" s="17"/>
      <c r="AJ11" s="20"/>
      <c r="AK11" s="17"/>
      <c r="AL11" s="17"/>
      <c r="AM11" s="17"/>
      <c r="AN11" s="17"/>
      <c r="AO11" s="20"/>
      <c r="AP11" s="17"/>
      <c r="AQ11" s="17"/>
      <c r="AR11" s="17"/>
      <c r="AS11" s="17"/>
      <c r="AT11" s="87"/>
      <c r="AU11" s="93"/>
      <c r="AV11" s="93"/>
      <c r="AW11" s="93"/>
      <c r="AX11" s="93"/>
      <c r="AY11" s="87"/>
      <c r="AZ11" s="93"/>
      <c r="BA11" s="93"/>
      <c r="BB11" s="93"/>
      <c r="BC11" s="93"/>
      <c r="BD11" s="87"/>
      <c r="BE11" s="93"/>
      <c r="BF11" s="93"/>
      <c r="BG11" s="93"/>
      <c r="BH11" s="93"/>
      <c r="BI11" s="87"/>
      <c r="BJ11" s="93"/>
      <c r="BK11" s="93"/>
      <c r="BL11" s="93"/>
      <c r="BM11" s="93"/>
      <c r="BN11" s="87"/>
      <c r="BO11" s="93"/>
      <c r="BP11" s="93"/>
      <c r="BQ11" s="93"/>
      <c r="BR11" s="93"/>
      <c r="BS11" s="87"/>
      <c r="BT11" s="93"/>
      <c r="BU11" s="93"/>
      <c r="BV11" s="93"/>
      <c r="BW11" s="93"/>
      <c r="BX11" s="87"/>
      <c r="BY11" s="93"/>
      <c r="BZ11" s="93"/>
      <c r="CA11" s="93"/>
      <c r="CB11" s="93"/>
      <c r="CC11" s="87"/>
      <c r="CD11" s="93"/>
      <c r="CE11" s="17"/>
      <c r="CF11" s="17"/>
      <c r="CG11" s="93"/>
      <c r="CH11" s="87"/>
      <c r="CI11" s="93"/>
      <c r="CJ11" s="93"/>
      <c r="CK11" s="17"/>
      <c r="CL11" s="93"/>
      <c r="CM11" s="87"/>
      <c r="CN11" s="93"/>
      <c r="CO11" s="93"/>
      <c r="CP11" s="17"/>
      <c r="CQ11" s="93"/>
      <c r="CR11" s="87"/>
    </row>
    <row r="12" spans="1:96" x14ac:dyDescent="0.2">
      <c r="A12" s="6" t="s">
        <v>93</v>
      </c>
      <c r="B12" s="17">
        <v>4.9000000000000004</v>
      </c>
      <c r="C12" s="17">
        <v>6.4</v>
      </c>
      <c r="D12" s="17">
        <v>5.3</v>
      </c>
      <c r="E12" s="17">
        <v>6.7</v>
      </c>
      <c r="F12" s="20">
        <f>SUM(B12:E12)</f>
        <v>23.3</v>
      </c>
      <c r="G12" s="17">
        <v>6</v>
      </c>
      <c r="H12" s="17">
        <v>6.3</v>
      </c>
      <c r="I12" s="17">
        <v>6.2</v>
      </c>
      <c r="J12" s="17">
        <v>6</v>
      </c>
      <c r="K12" s="20">
        <f>SUM(G12:J12)</f>
        <v>24.5</v>
      </c>
      <c r="L12" s="17">
        <v>4.3</v>
      </c>
      <c r="M12" s="17">
        <v>5.5</v>
      </c>
      <c r="N12" s="17">
        <v>5.5</v>
      </c>
      <c r="O12" s="17">
        <v>5.4</v>
      </c>
      <c r="P12" s="20">
        <f>SUM(L12:O12)</f>
        <v>20.700000000000003</v>
      </c>
      <c r="Q12" s="17">
        <v>5</v>
      </c>
      <c r="R12" s="17">
        <v>4.9000000000000004</v>
      </c>
      <c r="S12" s="17">
        <v>4.9000000000000004</v>
      </c>
      <c r="T12" s="17">
        <v>5</v>
      </c>
      <c r="U12" s="20">
        <f>SUM(Q12:T12)</f>
        <v>19.8</v>
      </c>
      <c r="V12" s="17">
        <v>4.8</v>
      </c>
      <c r="W12" s="17">
        <v>4.9000000000000004</v>
      </c>
      <c r="X12" s="17">
        <v>4.7</v>
      </c>
      <c r="Y12" s="17">
        <v>4.4000000000000004</v>
      </c>
      <c r="Z12" s="20">
        <f>SUM(V12:Y12)</f>
        <v>18.799999999999997</v>
      </c>
      <c r="AA12" s="17">
        <v>6.1</v>
      </c>
      <c r="AB12" s="17">
        <v>6.2</v>
      </c>
      <c r="AC12" s="17">
        <v>6.4</v>
      </c>
      <c r="AD12" s="17">
        <v>6.4</v>
      </c>
      <c r="AE12" s="20">
        <f>SUM(AA12:AD12)</f>
        <v>25.1</v>
      </c>
      <c r="AF12" s="17">
        <v>5.6</v>
      </c>
      <c r="AG12" s="17">
        <v>5.2</v>
      </c>
      <c r="AH12" s="17">
        <v>5.3</v>
      </c>
      <c r="AI12" s="17">
        <f>9.3-3.8</f>
        <v>5.5000000000000009</v>
      </c>
      <c r="AJ12" s="20">
        <f>SUM(AF12:AI12)</f>
        <v>21.6</v>
      </c>
      <c r="AK12" s="17">
        <v>4.8</v>
      </c>
      <c r="AL12" s="17">
        <v>4.8</v>
      </c>
      <c r="AM12" s="17">
        <v>4.9000000000000004</v>
      </c>
      <c r="AN12" s="17">
        <v>5.2</v>
      </c>
      <c r="AO12" s="20">
        <f>SUM(AK12:AN12)</f>
        <v>19.7</v>
      </c>
      <c r="AP12" s="17">
        <v>5.2</v>
      </c>
      <c r="AQ12" s="17">
        <v>5.2</v>
      </c>
      <c r="AR12" s="17">
        <v>5.2</v>
      </c>
      <c r="AS12" s="17">
        <v>5.2</v>
      </c>
      <c r="AT12" s="87">
        <f>SUM(AP12:AS12)</f>
        <v>20.8</v>
      </c>
      <c r="AU12" s="93">
        <v>5.0999999999999996</v>
      </c>
      <c r="AV12" s="93">
        <v>4.8</v>
      </c>
      <c r="AW12" s="93">
        <v>5.2</v>
      </c>
      <c r="AX12" s="93">
        <v>4.8</v>
      </c>
      <c r="AY12" s="87">
        <f>SUM(AU12:AX12)</f>
        <v>19.899999999999999</v>
      </c>
      <c r="AZ12" s="93">
        <v>5.0999999999999996</v>
      </c>
      <c r="BA12" s="93">
        <v>4.7</v>
      </c>
      <c r="BB12" s="93">
        <v>6.2</v>
      </c>
      <c r="BC12" s="93">
        <v>4.7</v>
      </c>
      <c r="BD12" s="87">
        <f>SUM(AZ12:BC12)</f>
        <v>20.7</v>
      </c>
      <c r="BE12" s="93">
        <v>5</v>
      </c>
      <c r="BF12" s="93">
        <v>5.0999999999999996</v>
      </c>
      <c r="BG12" s="93">
        <v>5.2</v>
      </c>
      <c r="BH12" s="93">
        <v>5.2</v>
      </c>
      <c r="BI12" s="87">
        <f>SUM(BE12:BH12)</f>
        <v>20.5</v>
      </c>
      <c r="BJ12" s="93">
        <v>14.1</v>
      </c>
      <c r="BK12" s="93">
        <v>16.899999999999999</v>
      </c>
      <c r="BL12" s="93">
        <v>16.3</v>
      </c>
      <c r="BM12" s="93">
        <v>16</v>
      </c>
      <c r="BN12" s="87">
        <f>SUM(BJ12:BM12)</f>
        <v>63.3</v>
      </c>
      <c r="BO12" s="93">
        <v>16.399999999999999</v>
      </c>
      <c r="BP12" s="93">
        <v>16.3</v>
      </c>
      <c r="BQ12" s="93">
        <v>16.2</v>
      </c>
      <c r="BR12" s="93">
        <v>16.3</v>
      </c>
      <c r="BS12" s="87">
        <f>SUM(BO12:BR12)</f>
        <v>65.2</v>
      </c>
      <c r="BT12" s="93">
        <v>15.8</v>
      </c>
      <c r="BU12" s="93">
        <v>18</v>
      </c>
      <c r="BV12" s="93">
        <v>17.8</v>
      </c>
      <c r="BW12" s="93">
        <v>15.9</v>
      </c>
      <c r="BX12" s="87">
        <f>SUM(BT12:BW12)</f>
        <v>67.5</v>
      </c>
      <c r="BY12" s="93">
        <v>17</v>
      </c>
      <c r="BZ12" s="93">
        <v>16.399999999999999</v>
      </c>
      <c r="CA12" s="17">
        <v>16.600000000000001</v>
      </c>
      <c r="CB12" s="17">
        <v>16.8</v>
      </c>
      <c r="CC12" s="87">
        <f>SUM(BY12:CB12)</f>
        <v>66.8</v>
      </c>
      <c r="CD12" s="93">
        <v>16.899999999999999</v>
      </c>
      <c r="CE12" s="17">
        <v>16.8</v>
      </c>
      <c r="CF12" s="17">
        <v>17.899999999999999</v>
      </c>
      <c r="CG12" s="17">
        <v>17.399999999999999</v>
      </c>
      <c r="CH12" s="87">
        <f>SUM(CD12:CG12)</f>
        <v>69</v>
      </c>
      <c r="CI12" s="93">
        <v>4.9000000000000004</v>
      </c>
      <c r="CJ12" s="93">
        <v>4.7</v>
      </c>
      <c r="CK12" s="17">
        <v>7.2</v>
      </c>
      <c r="CL12" s="17">
        <v>5.2</v>
      </c>
      <c r="CM12" s="87">
        <f>SUM(CI12:CL12)</f>
        <v>22</v>
      </c>
      <c r="CN12" s="93">
        <v>5</v>
      </c>
      <c r="CO12" s="93">
        <v>3.6</v>
      </c>
      <c r="CP12" s="17">
        <v>3.8</v>
      </c>
      <c r="CQ12" s="17">
        <v>3.8</v>
      </c>
      <c r="CR12" s="87">
        <f>SUM(CN12:CQ12)</f>
        <v>16.2</v>
      </c>
    </row>
    <row r="13" spans="1:96" x14ac:dyDescent="0.2">
      <c r="A13" s="1" t="s">
        <v>94</v>
      </c>
      <c r="B13" s="26">
        <f>-0.6-0.9</f>
        <v>-1.5</v>
      </c>
      <c r="C13" s="26">
        <f>0.4+7-8-1.6</f>
        <v>-2.1999999999999997</v>
      </c>
      <c r="D13" s="26">
        <f>-0.7+1-1-1.4</f>
        <v>-2.0999999999999996</v>
      </c>
      <c r="E13" s="26">
        <f>152.8+1-15-143-2+5-1.7</f>
        <v>-2.8999999999999888</v>
      </c>
      <c r="F13" s="21">
        <f>SUM(B13:E13)</f>
        <v>-8.6999999999999886</v>
      </c>
      <c r="G13" s="26">
        <f>-1.9+3-2-1.2</f>
        <v>-2.0999999999999996</v>
      </c>
      <c r="H13" s="26">
        <f>1.8-2-1.7</f>
        <v>-1.9</v>
      </c>
      <c r="I13" s="26">
        <f>0.3-1.3-1.1</f>
        <v>-2.1</v>
      </c>
      <c r="J13" s="26">
        <f>15.6-16.5-9.5+8.9-0.6</f>
        <v>-2.1</v>
      </c>
      <c r="K13" s="21">
        <f>SUM(G13:J13)</f>
        <v>-8.1999999999999993</v>
      </c>
      <c r="L13" s="26">
        <f>5.2-4.3</f>
        <v>0.90000000000000036</v>
      </c>
      <c r="M13" s="26">
        <f>11.9-10.6</f>
        <v>1.3000000000000007</v>
      </c>
      <c r="N13" s="26">
        <v>2</v>
      </c>
      <c r="O13" s="26">
        <v>0.9</v>
      </c>
      <c r="P13" s="21">
        <f>SUM(L13:O13)</f>
        <v>5.1000000000000014</v>
      </c>
      <c r="Q13" s="26">
        <f>-9</f>
        <v>-9</v>
      </c>
      <c r="R13" s="26">
        <v>0.9</v>
      </c>
      <c r="S13" s="26">
        <v>0.6</v>
      </c>
      <c r="T13" s="26">
        <v>0.8</v>
      </c>
      <c r="U13" s="21">
        <f>SUM(Q13:T13)</f>
        <v>-6.7</v>
      </c>
      <c r="V13" s="26">
        <v>-4.8</v>
      </c>
      <c r="W13" s="26">
        <v>-0.2</v>
      </c>
      <c r="X13" s="26">
        <v>0.2</v>
      </c>
      <c r="Y13" s="26">
        <f>31.4-34</f>
        <v>-2.6000000000000014</v>
      </c>
      <c r="Z13" s="21">
        <f>SUM(V13:Y13)</f>
        <v>-7.4000000000000012</v>
      </c>
      <c r="AA13" s="26">
        <v>0.4</v>
      </c>
      <c r="AB13" s="26">
        <v>-0.6</v>
      </c>
      <c r="AC13" s="26">
        <v>-1.1000000000000001</v>
      </c>
      <c r="AD13" s="26">
        <v>-0.7</v>
      </c>
      <c r="AE13" s="21">
        <f>SUM(AA13:AD13)</f>
        <v>-2</v>
      </c>
      <c r="AF13" s="26">
        <v>-3.6</v>
      </c>
      <c r="AG13" s="26">
        <v>-3.4</v>
      </c>
      <c r="AH13" s="26">
        <f>-10.5+8.7</f>
        <v>-1.8000000000000007</v>
      </c>
      <c r="AI13" s="26">
        <f>59.5-63</f>
        <v>-3.5</v>
      </c>
      <c r="AJ13" s="21">
        <f>SUM(AF13:AI13)</f>
        <v>-12.3</v>
      </c>
      <c r="AK13" s="26">
        <v>-5.9</v>
      </c>
      <c r="AL13" s="26">
        <v>-0.4</v>
      </c>
      <c r="AM13" s="26">
        <v>-2.6</v>
      </c>
      <c r="AN13" s="26">
        <v>-1.5</v>
      </c>
      <c r="AO13" s="21">
        <f>SUM(AK13:AN13)</f>
        <v>-10.4</v>
      </c>
      <c r="AP13" s="26">
        <f>3.4-5.5</f>
        <v>-2.1</v>
      </c>
      <c r="AQ13" s="26">
        <v>-0.3</v>
      </c>
      <c r="AR13" s="26">
        <v>-2.5</v>
      </c>
      <c r="AS13" s="26">
        <v>2.4</v>
      </c>
      <c r="AT13" s="88">
        <f>SUM(AP13:AS13)</f>
        <v>-2.5000000000000004</v>
      </c>
      <c r="AU13" s="91">
        <v>-3.7</v>
      </c>
      <c r="AV13" s="91">
        <f>-18.8-3.7+12.2</f>
        <v>-10.3</v>
      </c>
      <c r="AW13" s="91">
        <v>-1.9</v>
      </c>
      <c r="AX13" s="91">
        <f>-13.5+15.9</f>
        <v>2.4000000000000004</v>
      </c>
      <c r="AY13" s="88">
        <f>SUM(AU13:AX13)</f>
        <v>-13.5</v>
      </c>
      <c r="AZ13" s="91">
        <v>-0.4</v>
      </c>
      <c r="BA13" s="91">
        <v>-1</v>
      </c>
      <c r="BB13" s="91">
        <f>5.5-4.6-3.1</f>
        <v>-2.1999999999999997</v>
      </c>
      <c r="BC13" s="91">
        <f>-11+23.4</f>
        <v>12.399999999999999</v>
      </c>
      <c r="BD13" s="88">
        <f>SUM(AZ13:BC13)</f>
        <v>8.7999999999999989</v>
      </c>
      <c r="BE13" s="91">
        <v>0.3</v>
      </c>
      <c r="BF13" s="91">
        <v>-3</v>
      </c>
      <c r="BG13" s="91">
        <v>-3.2</v>
      </c>
      <c r="BH13" s="91">
        <f>12.1-6.9-5.1</f>
        <v>9.9999999999999645E-2</v>
      </c>
      <c r="BI13" s="88">
        <f>SUM(BE13:BH13)</f>
        <v>-5.8000000000000007</v>
      </c>
      <c r="BJ13" s="91">
        <f>2.1-1.2-2.7</f>
        <v>-1.8</v>
      </c>
      <c r="BK13" s="91">
        <f>-1.5-0.7-1.4</f>
        <v>-3.6</v>
      </c>
      <c r="BL13" s="91">
        <f>-0.1-4.64</f>
        <v>-4.7399999999999993</v>
      </c>
      <c r="BM13" s="91">
        <f>3.7-2.83-2.1</f>
        <v>-1.23</v>
      </c>
      <c r="BN13" s="88">
        <f>SUM(BJ13:BM13)-0.05</f>
        <v>-11.420000000000002</v>
      </c>
      <c r="BO13" s="91">
        <f>7.9-3.51</f>
        <v>4.3900000000000006</v>
      </c>
      <c r="BP13" s="91">
        <f>10.4-25.4-1.9-0.5</f>
        <v>-17.399999999999999</v>
      </c>
      <c r="BQ13" s="91">
        <f>-2.3-5.049</f>
        <v>-7.3490000000000002</v>
      </c>
      <c r="BR13" s="91">
        <v>-9</v>
      </c>
      <c r="BS13" s="88">
        <f>SUM(BO13:BR13)</f>
        <v>-29.358999999999998</v>
      </c>
      <c r="BT13" s="91">
        <f>0.1-2.4</f>
        <v>-2.2999999999999998</v>
      </c>
      <c r="BU13" s="91">
        <f>(-33.2)+28.2</f>
        <v>-5.0000000000000036</v>
      </c>
      <c r="BV13" s="91">
        <v>-9.5</v>
      </c>
      <c r="BW13" s="91">
        <v>-2.2999999999999998</v>
      </c>
      <c r="BX13" s="88">
        <f>SUM(BT13:BW13)</f>
        <v>-19.100000000000005</v>
      </c>
      <c r="BY13" s="91">
        <f>-0.2+1.2</f>
        <v>1</v>
      </c>
      <c r="BZ13" s="91">
        <f>0.2+3.4</f>
        <v>3.6</v>
      </c>
      <c r="CA13" s="26">
        <f>1.4-1.1</f>
        <v>0.29999999999999982</v>
      </c>
      <c r="CB13" s="26">
        <v>-7.2</v>
      </c>
      <c r="CC13" s="88">
        <f>SUM(BY13:CB13)</f>
        <v>-2.3000000000000007</v>
      </c>
      <c r="CD13" s="91">
        <v>-3.6</v>
      </c>
      <c r="CE13" s="91">
        <f>-10.6+3.6</f>
        <v>-7</v>
      </c>
      <c r="CF13" s="26">
        <f>-4.1+5.4</f>
        <v>1.3000000000000007</v>
      </c>
      <c r="CG13" s="26">
        <f>428.1+5.3+5.5-443.7</f>
        <v>-4.7999999999999545</v>
      </c>
      <c r="CH13" s="88">
        <f>SUM(CD13:CG13)</f>
        <v>-14.099999999999953</v>
      </c>
      <c r="CI13" s="91">
        <f>-7.4-8+7.9+2.2</f>
        <v>-5.3</v>
      </c>
      <c r="CJ13" s="91">
        <f>664.6-4.8+4.7-675.3</f>
        <v>-10.799999999999841</v>
      </c>
      <c r="CK13" s="26">
        <f>-11.3-5.4+14</f>
        <v>-2.7000000000000028</v>
      </c>
      <c r="CL13" s="26">
        <f>2.3-2.3+4.3-0.7</f>
        <v>3.5999999999999996</v>
      </c>
      <c r="CM13" s="88">
        <f>SUM(CI13:CL13)</f>
        <v>-15.199999999999845</v>
      </c>
      <c r="CN13" s="91">
        <f>-1.5-4.7+3.2</f>
        <v>-3</v>
      </c>
      <c r="CO13" s="91">
        <f>-19.8-3.6+18.4</f>
        <v>-5.0000000000000036</v>
      </c>
      <c r="CP13" s="26">
        <f>-105.7-2.4+2.5+13.1+86.8</f>
        <v>-5.7000000000000171</v>
      </c>
      <c r="CQ13" s="26">
        <f>10.6-20+5+21.6+4.1-22</f>
        <v>-0.69999999999999574</v>
      </c>
      <c r="CR13" s="88">
        <f>SUM(CN13:CQ13)</f>
        <v>-14.400000000000016</v>
      </c>
    </row>
    <row r="14" spans="1:96" x14ac:dyDescent="0.2">
      <c r="A14" s="6" t="s">
        <v>95</v>
      </c>
      <c r="B14" s="18">
        <f t="shared" ref="B14:H14" si="70">+B10-B12-B13</f>
        <v>95.699999999999875</v>
      </c>
      <c r="C14" s="18">
        <f t="shared" si="70"/>
        <v>92.399999999999991</v>
      </c>
      <c r="D14" s="18">
        <f t="shared" si="70"/>
        <v>109.50000000000001</v>
      </c>
      <c r="E14" s="18">
        <f t="shared" si="70"/>
        <v>70.900000000000034</v>
      </c>
      <c r="F14" s="22">
        <f t="shared" si="70"/>
        <v>368.50000000000011</v>
      </c>
      <c r="G14" s="18">
        <f t="shared" si="70"/>
        <v>69.299999999999898</v>
      </c>
      <c r="H14" s="18">
        <f t="shared" si="70"/>
        <v>84.399999999999878</v>
      </c>
      <c r="I14" s="18">
        <f t="shared" ref="I14:U14" si="71">+I10-I12-I13</f>
        <v>100.50000000000001</v>
      </c>
      <c r="J14" s="18">
        <f t="shared" si="71"/>
        <v>16.300000000000061</v>
      </c>
      <c r="K14" s="22">
        <f t="shared" si="71"/>
        <v>270.4999999999996</v>
      </c>
      <c r="L14" s="18">
        <f t="shared" si="71"/>
        <v>26.399999999999991</v>
      </c>
      <c r="M14" s="18">
        <f t="shared" si="71"/>
        <v>51.399999999999935</v>
      </c>
      <c r="N14" s="18">
        <f t="shared" si="71"/>
        <v>94.999999999999957</v>
      </c>
      <c r="O14" s="18">
        <f t="shared" si="71"/>
        <v>76.600000000000037</v>
      </c>
      <c r="P14" s="22">
        <f t="shared" si="71"/>
        <v>249.40000000000029</v>
      </c>
      <c r="Q14" s="18">
        <f t="shared" si="71"/>
        <v>77.2</v>
      </c>
      <c r="R14" s="18">
        <f>+R10-R12-R13</f>
        <v>85.099999999999923</v>
      </c>
      <c r="S14" s="18">
        <f>+S10-S12-S13</f>
        <v>75.600000000000051</v>
      </c>
      <c r="T14" s="18">
        <f t="shared" si="71"/>
        <v>50.100000000000009</v>
      </c>
      <c r="U14" s="22">
        <f t="shared" si="71"/>
        <v>288.00000000000011</v>
      </c>
      <c r="V14" s="18">
        <f>+V10-V12-V13</f>
        <v>74.2</v>
      </c>
      <c r="W14" s="18">
        <f>+W10-W12-W13</f>
        <v>79.100000000000094</v>
      </c>
      <c r="X14" s="18">
        <f>+X10-X12-X13</f>
        <v>71.599999999999966</v>
      </c>
      <c r="Y14" s="18">
        <f t="shared" ref="Y14" si="72">+Y10-Y12-Y13</f>
        <v>49.500000000000028</v>
      </c>
      <c r="Z14" s="22">
        <f t="shared" ref="Z14" si="73">+Z10-Z12-Z13</f>
        <v>274.40000000000009</v>
      </c>
      <c r="AA14" s="18">
        <f>+AA10-AA12-AA13</f>
        <v>71.799999999999955</v>
      </c>
      <c r="AB14" s="18">
        <f>+AB10-AB12-AB13</f>
        <v>85.899999999999949</v>
      </c>
      <c r="AC14" s="18">
        <f>+AC10-AC12-AC13</f>
        <v>87.599999999999966</v>
      </c>
      <c r="AD14" s="18">
        <f t="shared" ref="AD14" si="74">+AD10-AD12-AD13</f>
        <v>79.099999999999909</v>
      </c>
      <c r="AE14" s="22">
        <f t="shared" ref="AE14" si="75">+AE10-AE12-AE13</f>
        <v>324.40000000000032</v>
      </c>
      <c r="AF14" s="18">
        <f>+AF10-AF12-AF13</f>
        <v>78.499999999999972</v>
      </c>
      <c r="AG14" s="18">
        <f>+AG10-AG12-AG13</f>
        <v>91.500000000000071</v>
      </c>
      <c r="AH14" s="18">
        <f>+AH10-AH12-AH13</f>
        <v>90.700000000000017</v>
      </c>
      <c r="AI14" s="18">
        <f t="shared" ref="AI14" si="76">+AI10-AI12-AI13</f>
        <v>72.000000000000028</v>
      </c>
      <c r="AJ14" s="22">
        <f t="shared" ref="AJ14" si="77">+AJ10-AJ12-AJ13</f>
        <v>332.7000000000001</v>
      </c>
      <c r="AK14" s="18">
        <f>+AK10-AK12-AK13</f>
        <v>85.799999999999969</v>
      </c>
      <c r="AL14" s="18">
        <f>+AL10-AL12-AL13</f>
        <v>102.20000000000006</v>
      </c>
      <c r="AM14" s="18">
        <f>+AM10-AM12-AM13</f>
        <v>106.9</v>
      </c>
      <c r="AN14" s="18">
        <f t="shared" ref="AN14" si="78">+AN10-AN12-AN13</f>
        <v>90.099999999999952</v>
      </c>
      <c r="AO14" s="22">
        <f t="shared" ref="AO14" si="79">+AO10-AO12-AO13</f>
        <v>385.00000000000051</v>
      </c>
      <c r="AP14" s="18">
        <f>+AP10-AP12-AP13</f>
        <v>112.20000000000006</v>
      </c>
      <c r="AQ14" s="18">
        <f>+AQ10-AQ12-AQ13</f>
        <v>114.49999999999989</v>
      </c>
      <c r="AR14" s="18">
        <f>+AR10-AR12-AR13</f>
        <v>127.4999999999999</v>
      </c>
      <c r="AS14" s="18">
        <f t="shared" ref="AS14" si="80">+AS10-AS12-AS13</f>
        <v>105.00000000000001</v>
      </c>
      <c r="AT14" s="89">
        <f>+AT10-AT12-AT13</f>
        <v>459.19999999999953</v>
      </c>
      <c r="AU14" s="95">
        <f>+AU10-AU12-AU13</f>
        <v>126.80000000000008</v>
      </c>
      <c r="AV14" s="95">
        <f>+AV10-AV12-AV13</f>
        <v>139.5999999999998</v>
      </c>
      <c r="AW14" s="95">
        <f>+AW10-AW12-AW13</f>
        <v>125.49999999999993</v>
      </c>
      <c r="AX14" s="95">
        <f t="shared" ref="AX14:BC14" si="81">+AX10-AX12-AX13</f>
        <v>112.50000000000027</v>
      </c>
      <c r="AY14" s="89">
        <f t="shared" si="81"/>
        <v>504.39999999999964</v>
      </c>
      <c r="AZ14" s="96">
        <f t="shared" si="81"/>
        <v>115.6999999999999</v>
      </c>
      <c r="BA14" s="95">
        <f t="shared" si="81"/>
        <v>123.99999999999986</v>
      </c>
      <c r="BB14" s="95">
        <f>+BB10-BB12-BB13</f>
        <v>123.79999999999981</v>
      </c>
      <c r="BC14" s="95">
        <f t="shared" si="81"/>
        <v>118.4</v>
      </c>
      <c r="BD14" s="89">
        <f>+BD10-BD12-BD13</f>
        <v>481.89999999999952</v>
      </c>
      <c r="BE14" s="96">
        <f t="shared" ref="BE14" si="82">+BE10-BE12-BE13</f>
        <v>113.29999999999995</v>
      </c>
      <c r="BF14" s="95">
        <f t="shared" ref="BF14:BG14" si="83">+BF10-BF12-BF13</f>
        <v>133.55000000000015</v>
      </c>
      <c r="BG14" s="95">
        <f t="shared" si="83"/>
        <v>129.59999999999985</v>
      </c>
      <c r="BH14" s="95">
        <f>+BH10-BH12-BH13</f>
        <v>126.20000000000006</v>
      </c>
      <c r="BI14" s="89">
        <f>+BI10-BI12-BI13</f>
        <v>502.69999999999976</v>
      </c>
      <c r="BJ14" s="95">
        <f t="shared" ref="BJ14:BK14" si="84">+BJ10-BJ12-BJ13</f>
        <v>105.89999999999988</v>
      </c>
      <c r="BK14" s="95">
        <f t="shared" si="84"/>
        <v>126.20000000000005</v>
      </c>
      <c r="BL14" s="95">
        <f>+BL10-BL12-BL13</f>
        <v>140.14999999999986</v>
      </c>
      <c r="BM14" s="95">
        <f t="shared" ref="BM14" si="85">+BM10-BM12-BM13</f>
        <v>125.73000000000015</v>
      </c>
      <c r="BN14" s="89">
        <f>+BN10-BN12-BN13</f>
        <v>498.03</v>
      </c>
      <c r="BO14" s="95">
        <f>+BO10-BO12-BO13</f>
        <v>90.500000000000071</v>
      </c>
      <c r="BP14" s="95">
        <f t="shared" ref="BP14:BR14" si="86">+BP10-BP12-BP13</f>
        <v>50.299999999999976</v>
      </c>
      <c r="BQ14" s="95">
        <f t="shared" si="86"/>
        <v>155.94899999999998</v>
      </c>
      <c r="BR14" s="95">
        <f t="shared" si="86"/>
        <v>156.00000000000011</v>
      </c>
      <c r="BS14" s="89">
        <f>+BS10-BS12-BS13</f>
        <v>452.74900000000014</v>
      </c>
      <c r="BT14" s="95">
        <f t="shared" ref="BT14:BU14" si="87">+BT10-BT12-BT13</f>
        <v>127.7000000000001</v>
      </c>
      <c r="BU14" s="95">
        <f t="shared" si="87"/>
        <v>143.69999999999996</v>
      </c>
      <c r="BV14" s="95">
        <f t="shared" ref="BV14:BW14" si="88">+BV10-BV12-BV13</f>
        <v>144.20000000000013</v>
      </c>
      <c r="BW14" s="95">
        <f t="shared" si="88"/>
        <v>152.2000000000001</v>
      </c>
      <c r="BX14" s="89">
        <f t="shared" ref="BX14:CB14" si="89">+BX10-BX12-BX13</f>
        <v>567.80000000000064</v>
      </c>
      <c r="BY14" s="95">
        <f t="shared" si="89"/>
        <v>137.59999999999997</v>
      </c>
      <c r="BZ14" s="95">
        <f t="shared" si="89"/>
        <v>143.00000000000009</v>
      </c>
      <c r="CA14" s="18">
        <f t="shared" si="89"/>
        <v>113.2</v>
      </c>
      <c r="CB14" s="18">
        <f t="shared" si="89"/>
        <v>91.199999999999918</v>
      </c>
      <c r="CC14" s="89">
        <f t="shared" ref="CC14:CD14" si="90">+CC10-CC12-CC13</f>
        <v>484.99999999999932</v>
      </c>
      <c r="CD14" s="95">
        <f t="shared" si="90"/>
        <v>89.299999999999898</v>
      </c>
      <c r="CE14" s="95">
        <f t="shared" ref="CE14:CG14" si="91">+CE10-CE12-CE13</f>
        <v>92.100000000000023</v>
      </c>
      <c r="CF14" s="95">
        <f t="shared" si="91"/>
        <v>86.000000000000071</v>
      </c>
      <c r="CG14" s="95">
        <f t="shared" si="91"/>
        <v>66.099999999999909</v>
      </c>
      <c r="CH14" s="89">
        <f t="shared" ref="CH14:CL14" si="92">+CH10-CH12-CH13</f>
        <v>333.50000000000017</v>
      </c>
      <c r="CI14" s="95">
        <f>+CI10-CI12-CI13</f>
        <v>63.700000000000038</v>
      </c>
      <c r="CJ14" s="95">
        <f t="shared" ref="CJ14:CK14" si="93">+CJ10-CJ12-CJ13</f>
        <v>71.199999999999704</v>
      </c>
      <c r="CK14" s="18">
        <f t="shared" si="93"/>
        <v>76.09999999999998</v>
      </c>
      <c r="CL14" s="95">
        <f t="shared" si="92"/>
        <v>55.600000000000172</v>
      </c>
      <c r="CM14" s="89">
        <f t="shared" ref="CM14" si="94">+CM10-CM12-CM13</f>
        <v>266.60000000000002</v>
      </c>
      <c r="CN14" s="95">
        <f>+CN10-CN12-CN13</f>
        <v>66.600000000000009</v>
      </c>
      <c r="CO14" s="95">
        <f t="shared" ref="CO14" si="95">+CO10-CO12-CO13</f>
        <v>75.600000000000023</v>
      </c>
      <c r="CP14" s="18">
        <f t="shared" ref="CP14:CR14" si="96">+CP10-CP12-CP13</f>
        <v>72.800000000000111</v>
      </c>
      <c r="CQ14" s="95">
        <f t="shared" si="96"/>
        <v>47.900000000000055</v>
      </c>
      <c r="CR14" s="89">
        <f t="shared" si="96"/>
        <v>262.89999999999986</v>
      </c>
    </row>
    <row r="15" spans="1:96" x14ac:dyDescent="0.2">
      <c r="A15" s="8" t="s">
        <v>90</v>
      </c>
      <c r="B15" s="31">
        <f t="shared" ref="B15:H15" si="97">+B14/B5</f>
        <v>9.1351660939289689E-2</v>
      </c>
      <c r="C15" s="31">
        <f t="shared" si="97"/>
        <v>8.6314806165343289E-2</v>
      </c>
      <c r="D15" s="31">
        <f t="shared" si="97"/>
        <v>0.10025636330342429</v>
      </c>
      <c r="E15" s="31">
        <f t="shared" si="97"/>
        <v>6.8192747908050425E-2</v>
      </c>
      <c r="F15" s="32">
        <f t="shared" si="97"/>
        <v>8.6705882352941202E-2</v>
      </c>
      <c r="G15" s="38">
        <f t="shared" si="97"/>
        <v>6.9418010618050585E-2</v>
      </c>
      <c r="H15" s="38">
        <f t="shared" si="97"/>
        <v>7.9390461856833683E-2</v>
      </c>
      <c r="I15" s="31">
        <f t="shared" ref="I15:U15" si="98">+I14/I5</f>
        <v>8.876523582405936E-2</v>
      </c>
      <c r="J15" s="31">
        <f t="shared" si="98"/>
        <v>1.8470254957507152E-2</v>
      </c>
      <c r="K15" s="32">
        <f t="shared" si="98"/>
        <v>6.6362454306812799E-2</v>
      </c>
      <c r="L15" s="38">
        <f t="shared" si="98"/>
        <v>3.6763681938448672E-2</v>
      </c>
      <c r="M15" s="38">
        <f t="shared" si="98"/>
        <v>6.7863744388698091E-2</v>
      </c>
      <c r="N15" s="38">
        <f t="shared" si="98"/>
        <v>0.11729843190517343</v>
      </c>
      <c r="O15" s="38">
        <f t="shared" si="98"/>
        <v>9.9519293231129055E-2</v>
      </c>
      <c r="P15" s="35">
        <f t="shared" si="98"/>
        <v>8.1633989067461055E-2</v>
      </c>
      <c r="Q15" s="38">
        <f t="shared" si="98"/>
        <v>9.456148946594807E-2</v>
      </c>
      <c r="R15" s="38">
        <f t="shared" si="98"/>
        <v>9.7335010865835445E-2</v>
      </c>
      <c r="S15" s="38">
        <f>+S14/S5</f>
        <v>8.724754760530877E-2</v>
      </c>
      <c r="T15" s="38">
        <f t="shared" si="98"/>
        <v>6.2476618032173602E-2</v>
      </c>
      <c r="U15" s="35">
        <f t="shared" si="98"/>
        <v>8.5737251049388272E-2</v>
      </c>
      <c r="V15" s="38">
        <f>+V14/V5</f>
        <v>8.283098906005805E-2</v>
      </c>
      <c r="W15" s="38">
        <f>+W14/W5</f>
        <v>8.3685992382564633E-2</v>
      </c>
      <c r="X15" s="38">
        <f>+X14/X5</f>
        <v>7.6097353597619266E-2</v>
      </c>
      <c r="Y15" s="38">
        <f t="shared" ref="Y15" si="99">+Y14/Y5</f>
        <v>5.7955742887249771E-2</v>
      </c>
      <c r="Z15" s="35">
        <f t="shared" ref="Z15" si="100">+Z14/Z5</f>
        <v>7.5467546754675499E-2</v>
      </c>
      <c r="AA15" s="38">
        <f>+AA14/AA5</f>
        <v>8.2010279840091321E-2</v>
      </c>
      <c r="AB15" s="38">
        <f>+AB14/AB5</f>
        <v>9.904300703332175E-2</v>
      </c>
      <c r="AC15" s="38">
        <f>+AC14/AC5</f>
        <v>0.10151813651639816</v>
      </c>
      <c r="AD15" s="38">
        <f>+AD14/AD5</f>
        <v>9.7799208704253113E-2</v>
      </c>
      <c r="AE15" s="35">
        <f t="shared" ref="AE15" si="101">+AE14/AE5</f>
        <v>9.5006589544589348E-2</v>
      </c>
      <c r="AF15" s="38">
        <f>+AF14/AF5</f>
        <v>9.1194237918215584E-2</v>
      </c>
      <c r="AG15" s="38">
        <f>+AG14/AG5</f>
        <v>0.104024556616644</v>
      </c>
      <c r="AH15" s="38">
        <f>+AH14/AH5</f>
        <v>0.10335004557885143</v>
      </c>
      <c r="AI15" s="38">
        <f>+AI14/AI5</f>
        <v>8.3798882681564268E-2</v>
      </c>
      <c r="AJ15" s="35">
        <f t="shared" ref="AJ15" si="102">+AJ14/AJ5</f>
        <v>9.5680432531922266E-2</v>
      </c>
      <c r="AK15" s="38">
        <f>+AK14/AK5</f>
        <v>9.8001142204454564E-2</v>
      </c>
      <c r="AL15" s="38">
        <f>+AL14/AL5</f>
        <v>0.10689258445769277</v>
      </c>
      <c r="AM15" s="38">
        <f>+AM14/AM5</f>
        <v>0.10717866452777222</v>
      </c>
      <c r="AN15" s="38">
        <f>+AN14/AN5</f>
        <v>9.4513794188607947E-2</v>
      </c>
      <c r="AO15" s="35">
        <f t="shared" ref="AO15" si="103">+AO14/AO5</f>
        <v>0.10178991618856265</v>
      </c>
      <c r="AP15" s="78">
        <f>+AP14/AP5</f>
        <v>0.11612502587456019</v>
      </c>
      <c r="AQ15" s="78">
        <f>+AQ14/AQ5</f>
        <v>0.11480998696480486</v>
      </c>
      <c r="AR15" s="78">
        <f>+AR14/AR5</f>
        <v>0.1263502130611435</v>
      </c>
      <c r="AS15" s="78">
        <f>+AS14/AS5</f>
        <v>0.11115816218505188</v>
      </c>
      <c r="AT15" s="69">
        <f t="shared" ref="AT15" si="104">+AT14/AT5</f>
        <v>0.1172265904217297</v>
      </c>
      <c r="AU15" s="78">
        <f t="shared" ref="AU15:BC15" si="105">+AU14/AU5</f>
        <v>0.1351236146632567</v>
      </c>
      <c r="AV15" s="78">
        <f t="shared" si="105"/>
        <v>0.14558348107206154</v>
      </c>
      <c r="AW15" s="78">
        <f t="shared" si="105"/>
        <v>0.13225840446833168</v>
      </c>
      <c r="AX15" s="78">
        <f t="shared" si="105"/>
        <v>0.12448821511563601</v>
      </c>
      <c r="AY15" s="69">
        <f t="shared" si="105"/>
        <v>0.13451025360676278</v>
      </c>
      <c r="AZ15" s="79">
        <f t="shared" si="105"/>
        <v>0.12048318233885234</v>
      </c>
      <c r="BA15" s="78">
        <f t="shared" si="105"/>
        <v>0.12534115030829865</v>
      </c>
      <c r="BB15" s="78">
        <f t="shared" si="105"/>
        <v>0.12261067643854591</v>
      </c>
      <c r="BC15" s="78">
        <f t="shared" si="105"/>
        <v>0.120264093448451</v>
      </c>
      <c r="BD15" s="69">
        <f>BD14/BD5</f>
        <v>0.12219179471575625</v>
      </c>
      <c r="BE15" s="79">
        <f t="shared" ref="BE15" si="106">+BE14/BE5</f>
        <v>0.11012830482115081</v>
      </c>
      <c r="BF15" s="78">
        <f t="shared" ref="BF15:BG15" si="107">+BF14/BF5</f>
        <v>0.12113928069300209</v>
      </c>
      <c r="BG15" s="78">
        <f t="shared" si="107"/>
        <v>0.11873568483737962</v>
      </c>
      <c r="BH15" s="78">
        <f>+BH14/BH5</f>
        <v>0.12056940861756001</v>
      </c>
      <c r="BI15" s="69">
        <f t="shared" ref="BI15:BK15" si="108">+BI14/BI5</f>
        <v>0.11774212437053513</v>
      </c>
      <c r="BJ15" s="78">
        <f t="shared" si="108"/>
        <v>9.1680373993593536E-2</v>
      </c>
      <c r="BK15" s="78">
        <f t="shared" si="108"/>
        <v>0.10402242004615896</v>
      </c>
      <c r="BL15" s="78">
        <f t="shared" ref="BL15:BM15" si="109">+BL14/BL5</f>
        <v>0.11308803356733629</v>
      </c>
      <c r="BM15" s="78">
        <f t="shared" si="109"/>
        <v>0.10981745130579101</v>
      </c>
      <c r="BN15" s="69">
        <f t="shared" ref="BN15:BR15" si="110">+BN14/BN5</f>
        <v>0.10479326670173593</v>
      </c>
      <c r="BO15" s="78">
        <f t="shared" si="110"/>
        <v>8.6562281800878119E-2</v>
      </c>
      <c r="BP15" s="78">
        <f t="shared" si="110"/>
        <v>5.9519583481244795E-2</v>
      </c>
      <c r="BQ15" s="78">
        <f t="shared" si="110"/>
        <v>0.12913961576681021</v>
      </c>
      <c r="BR15" s="78">
        <f t="shared" si="110"/>
        <v>0.13197969543147217</v>
      </c>
      <c r="BS15" s="69">
        <f t="shared" ref="BS15:BT15" si="111">+BS14/BS5</f>
        <v>0.10577778089290431</v>
      </c>
      <c r="BT15" s="78">
        <f t="shared" si="111"/>
        <v>0.11095664262750898</v>
      </c>
      <c r="BU15" s="78">
        <f t="shared" ref="BU15" si="112">+BU14/BU5</f>
        <v>0.11318525519848768</v>
      </c>
      <c r="BV15" s="78">
        <f t="shared" ref="BV15:BW15" si="113">+BV14/BV5</f>
        <v>0.1093086719223773</v>
      </c>
      <c r="BW15" s="78">
        <f t="shared" si="113"/>
        <v>0.11418711081101365</v>
      </c>
      <c r="BX15" s="69">
        <f>+BX14/BX5</f>
        <v>0.11193470803926991</v>
      </c>
      <c r="BY15" s="78">
        <f t="shared" ref="BY15:CB15" si="114">+BY14/BY5</f>
        <v>0.1040611056492475</v>
      </c>
      <c r="BZ15" s="78">
        <f t="shared" si="114"/>
        <v>0.10718033278369066</v>
      </c>
      <c r="CA15" s="78">
        <f t="shared" si="114"/>
        <v>8.745364647713226E-2</v>
      </c>
      <c r="CB15" s="78">
        <f t="shared" si="114"/>
        <v>7.6266934269944742E-2</v>
      </c>
      <c r="CC15" s="69">
        <f>+CC14/CC5</f>
        <v>9.4235140964112799E-2</v>
      </c>
      <c r="CD15" s="78">
        <f t="shared" ref="CD15:CG15" si="115">+CD14/CD5</f>
        <v>7.358272907053387E-2</v>
      </c>
      <c r="CE15" s="78">
        <f t="shared" si="115"/>
        <v>7.5417622011136609E-2</v>
      </c>
      <c r="CF15" s="78">
        <f t="shared" si="115"/>
        <v>7.3166581589246271E-2</v>
      </c>
      <c r="CG15" s="78">
        <f t="shared" si="115"/>
        <v>5.9277194870415134E-2</v>
      </c>
      <c r="CH15" s="69">
        <f>+CH14/CH5</f>
        <v>7.0577529469028455E-2</v>
      </c>
      <c r="CI15" s="78">
        <f t="shared" ref="CI15:CL15" si="116">+CI14/CI5</f>
        <v>5.80727504786216E-2</v>
      </c>
      <c r="CJ15" s="78">
        <f t="shared" si="116"/>
        <v>6.3087010455431247E-2</v>
      </c>
      <c r="CK15" s="78">
        <f t="shared" si="116"/>
        <v>6.9075065807388564E-2</v>
      </c>
      <c r="CL15" s="78">
        <f t="shared" si="116"/>
        <v>5.2631578947368578E-2</v>
      </c>
      <c r="CM15" s="69">
        <f>+CM14/CM5</f>
        <v>6.0817592846062599E-2</v>
      </c>
      <c r="CN15" s="78">
        <f t="shared" ref="CN15:CQ15" si="117">+CN14/CN5</f>
        <v>6.5159964778397431E-2</v>
      </c>
      <c r="CO15" s="78">
        <f t="shared" si="117"/>
        <v>7.1455576559546333E-2</v>
      </c>
      <c r="CP15" s="78">
        <f t="shared" si="117"/>
        <v>7.0243149363180338E-2</v>
      </c>
      <c r="CQ15" s="78">
        <f t="shared" si="117"/>
        <v>5.1033454080545548E-2</v>
      </c>
      <c r="CR15" s="69">
        <f>+CR14/CR5</f>
        <v>6.4831940026139886E-2</v>
      </c>
    </row>
    <row r="16" spans="1:96" x14ac:dyDescent="0.2">
      <c r="A16" s="1" t="s">
        <v>96</v>
      </c>
      <c r="B16" s="17">
        <v>13.7</v>
      </c>
      <c r="C16" s="17">
        <v>14.2</v>
      </c>
      <c r="D16" s="17">
        <v>15.2</v>
      </c>
      <c r="E16" s="17">
        <v>15.5</v>
      </c>
      <c r="F16" s="20">
        <f>SUM(B16:E16)</f>
        <v>58.599999999999994</v>
      </c>
      <c r="G16" s="17">
        <v>13.3</v>
      </c>
      <c r="H16" s="17">
        <v>13.1</v>
      </c>
      <c r="I16" s="17">
        <v>11.9</v>
      </c>
      <c r="J16" s="17">
        <v>10.1</v>
      </c>
      <c r="K16" s="20">
        <f>SUM(G16:J16)</f>
        <v>48.4</v>
      </c>
      <c r="L16" s="17">
        <v>9.4</v>
      </c>
      <c r="M16" s="17">
        <v>9.1</v>
      </c>
      <c r="N16" s="17">
        <v>9.3000000000000007</v>
      </c>
      <c r="O16" s="17">
        <v>9.6</v>
      </c>
      <c r="P16" s="20">
        <f>SUM(L16:O16)</f>
        <v>37.4</v>
      </c>
      <c r="Q16" s="17">
        <v>9.3000000000000007</v>
      </c>
      <c r="R16" s="17">
        <v>9.1999999999999993</v>
      </c>
      <c r="S16" s="17">
        <v>9.3000000000000007</v>
      </c>
      <c r="T16" s="17">
        <v>9.9</v>
      </c>
      <c r="U16" s="20">
        <f>SUM(Q16:T16)</f>
        <v>37.700000000000003</v>
      </c>
      <c r="V16" s="17">
        <v>9.5</v>
      </c>
      <c r="W16" s="17">
        <v>9.4</v>
      </c>
      <c r="X16" s="17">
        <v>9.6</v>
      </c>
      <c r="Y16" s="17">
        <v>9.8000000000000007</v>
      </c>
      <c r="Z16" s="20">
        <f>SUM(V16:Y16)</f>
        <v>38.299999999999997</v>
      </c>
      <c r="AA16" s="17">
        <v>9.5</v>
      </c>
      <c r="AB16" s="17">
        <v>9.6</v>
      </c>
      <c r="AC16" s="17">
        <v>11.3</v>
      </c>
      <c r="AD16" s="17">
        <v>13</v>
      </c>
      <c r="AE16" s="20">
        <f>SUM(AA16:AD16)</f>
        <v>43.400000000000006</v>
      </c>
      <c r="AF16" s="17">
        <v>12.8</v>
      </c>
      <c r="AG16" s="17">
        <v>10.9</v>
      </c>
      <c r="AH16" s="17">
        <v>10.6</v>
      </c>
      <c r="AI16" s="17">
        <v>10.4</v>
      </c>
      <c r="AJ16" s="20">
        <f>SUM(AF16:AI16)</f>
        <v>44.7</v>
      </c>
      <c r="AK16" s="17">
        <v>10.4</v>
      </c>
      <c r="AL16" s="17">
        <v>10.4</v>
      </c>
      <c r="AM16" s="17">
        <v>10.4</v>
      </c>
      <c r="AN16" s="17">
        <v>10.6</v>
      </c>
      <c r="AO16" s="20">
        <f>SUM(AK16:AN16)</f>
        <v>41.800000000000004</v>
      </c>
      <c r="AP16" s="17">
        <v>11</v>
      </c>
      <c r="AQ16" s="17">
        <v>11.2</v>
      </c>
      <c r="AR16" s="17">
        <v>10.3</v>
      </c>
      <c r="AS16" s="17">
        <v>8.6</v>
      </c>
      <c r="AT16" s="87">
        <f>SUM(AP16:AS16)</f>
        <v>41.1</v>
      </c>
      <c r="AU16" s="93">
        <v>9.1999999999999993</v>
      </c>
      <c r="AV16" s="93">
        <v>10.3</v>
      </c>
      <c r="AW16" s="93">
        <v>9.9</v>
      </c>
      <c r="AX16" s="93">
        <v>9.4</v>
      </c>
      <c r="AY16" s="87">
        <f>SUM(AU16:AX16)</f>
        <v>38.799999999999997</v>
      </c>
      <c r="AZ16" s="94">
        <v>10.6</v>
      </c>
      <c r="BA16" s="93">
        <v>10.4</v>
      </c>
      <c r="BB16" s="93">
        <v>10.199999999999999</v>
      </c>
      <c r="BC16" s="93">
        <v>12.3</v>
      </c>
      <c r="BD16" s="87">
        <f>SUM(AZ16:BC16)</f>
        <v>43.5</v>
      </c>
      <c r="BE16" s="94">
        <v>14.4</v>
      </c>
      <c r="BF16" s="93">
        <v>16</v>
      </c>
      <c r="BG16" s="93">
        <v>13.1</v>
      </c>
      <c r="BH16" s="93">
        <f>17.4-3.15</f>
        <v>14.249999999999998</v>
      </c>
      <c r="BI16" s="87">
        <f>SUM(BE16:BH16)</f>
        <v>57.75</v>
      </c>
      <c r="BJ16" s="93">
        <v>21.4</v>
      </c>
      <c r="BK16" s="93">
        <v>24.5</v>
      </c>
      <c r="BL16" s="93">
        <v>22.6</v>
      </c>
      <c r="BM16" s="93">
        <v>22.2</v>
      </c>
      <c r="BN16" s="87">
        <f>SUM(BJ16:BM16)</f>
        <v>90.7</v>
      </c>
      <c r="BO16" s="93">
        <v>20.9</v>
      </c>
      <c r="BP16" s="93">
        <v>21.4</v>
      </c>
      <c r="BQ16" s="93">
        <v>20.9</v>
      </c>
      <c r="BR16" s="93">
        <v>19.5</v>
      </c>
      <c r="BS16" s="87">
        <f>SUM(BO16:BR16)</f>
        <v>82.699999999999989</v>
      </c>
      <c r="BT16" s="93">
        <v>19.3</v>
      </c>
      <c r="BU16" s="93">
        <v>19.5</v>
      </c>
      <c r="BV16" s="93">
        <v>19</v>
      </c>
      <c r="BW16" s="93">
        <v>18.7</v>
      </c>
      <c r="BX16" s="87">
        <f>SUM(BT16:BW16)</f>
        <v>76.5</v>
      </c>
      <c r="BY16" s="93">
        <v>20.7</v>
      </c>
      <c r="BZ16" s="93">
        <v>21.1</v>
      </c>
      <c r="CA16" s="17">
        <v>20.5</v>
      </c>
      <c r="CB16" s="17">
        <v>23.2</v>
      </c>
      <c r="CC16" s="87">
        <f>SUM(BY16:CB16)</f>
        <v>85.5</v>
      </c>
      <c r="CD16" s="93">
        <v>22.1</v>
      </c>
      <c r="CE16" s="17">
        <v>23.1</v>
      </c>
      <c r="CF16" s="17">
        <v>22</v>
      </c>
      <c r="CG16" s="17">
        <v>21.2</v>
      </c>
      <c r="CH16" s="87">
        <f>SUM(CD16:CG16)</f>
        <v>88.4</v>
      </c>
      <c r="CI16" s="93">
        <v>21.6</v>
      </c>
      <c r="CJ16" s="93">
        <v>22.4</v>
      </c>
      <c r="CK16" s="17">
        <v>21</v>
      </c>
      <c r="CL16" s="17">
        <v>20.9</v>
      </c>
      <c r="CM16" s="87">
        <f>SUM(CI16:CL16)</f>
        <v>85.9</v>
      </c>
      <c r="CN16" s="93">
        <v>18.8</v>
      </c>
      <c r="CO16" s="93">
        <v>20.5</v>
      </c>
      <c r="CP16" s="17">
        <v>18.5</v>
      </c>
      <c r="CQ16" s="17">
        <v>15.1</v>
      </c>
      <c r="CR16" s="87">
        <f>SUM(CN16:CQ16)</f>
        <v>72.899999999999991</v>
      </c>
    </row>
    <row r="17" spans="1:96" x14ac:dyDescent="0.2">
      <c r="A17" s="1" t="s">
        <v>97</v>
      </c>
      <c r="B17" s="26">
        <v>1.9</v>
      </c>
      <c r="C17" s="26">
        <v>1.7</v>
      </c>
      <c r="D17" s="26">
        <v>2.7</v>
      </c>
      <c r="E17" s="26">
        <v>3.2</v>
      </c>
      <c r="F17" s="21">
        <f>SUM(B17:E17)</f>
        <v>9.5</v>
      </c>
      <c r="G17" s="26">
        <v>2.2999999999999998</v>
      </c>
      <c r="H17" s="26">
        <v>2.1</v>
      </c>
      <c r="I17" s="26">
        <v>2.2999999999999998</v>
      </c>
      <c r="J17" s="26">
        <v>2</v>
      </c>
      <c r="K17" s="21">
        <f>SUM(G17:J17)</f>
        <v>8.6999999999999993</v>
      </c>
      <c r="L17" s="26">
        <v>1.5</v>
      </c>
      <c r="M17" s="26">
        <v>1</v>
      </c>
      <c r="N17" s="26">
        <v>1.3</v>
      </c>
      <c r="O17" s="26">
        <v>1.7</v>
      </c>
      <c r="P17" s="21">
        <f>SUM(L17:O17)</f>
        <v>5.5</v>
      </c>
      <c r="Q17" s="26">
        <v>1.1000000000000001</v>
      </c>
      <c r="R17" s="26">
        <v>1.2</v>
      </c>
      <c r="S17" s="26">
        <v>1.7</v>
      </c>
      <c r="T17" s="26">
        <v>1.2</v>
      </c>
      <c r="U17" s="21">
        <f>SUM(Q17:T17)</f>
        <v>5.2</v>
      </c>
      <c r="V17" s="26">
        <v>1.5</v>
      </c>
      <c r="W17" s="26">
        <v>2.2999999999999998</v>
      </c>
      <c r="X17" s="26">
        <v>1.4</v>
      </c>
      <c r="Y17" s="26">
        <v>1.5</v>
      </c>
      <c r="Z17" s="21">
        <f>SUM(V17:Y17)</f>
        <v>6.6999999999999993</v>
      </c>
      <c r="AA17" s="26">
        <v>1.7</v>
      </c>
      <c r="AB17" s="26">
        <v>1.6</v>
      </c>
      <c r="AC17" s="26">
        <v>1.6</v>
      </c>
      <c r="AD17" s="26">
        <v>1.6</v>
      </c>
      <c r="AE17" s="21">
        <f>SUM(AA17:AD17)</f>
        <v>6.5</v>
      </c>
      <c r="AF17" s="26">
        <v>2.7</v>
      </c>
      <c r="AG17" s="26">
        <v>1.8</v>
      </c>
      <c r="AH17" s="26">
        <v>1.7</v>
      </c>
      <c r="AI17" s="26">
        <v>1.5</v>
      </c>
      <c r="AJ17" s="21">
        <f>SUM(AF17:AI17)</f>
        <v>7.7</v>
      </c>
      <c r="AK17" s="26">
        <v>1.4</v>
      </c>
      <c r="AL17" s="26">
        <v>1.4</v>
      </c>
      <c r="AM17" s="26">
        <v>1.5</v>
      </c>
      <c r="AN17" s="26">
        <v>1.5</v>
      </c>
      <c r="AO17" s="21">
        <f>SUM(AK17:AN17)</f>
        <v>5.8</v>
      </c>
      <c r="AP17" s="26">
        <v>1.3</v>
      </c>
      <c r="AQ17" s="26">
        <v>1</v>
      </c>
      <c r="AR17" s="26">
        <v>1.1000000000000001</v>
      </c>
      <c r="AS17" s="26">
        <v>1</v>
      </c>
      <c r="AT17" s="88">
        <f>SUM(AP17:AS17)</f>
        <v>4.4000000000000004</v>
      </c>
      <c r="AU17" s="91">
        <v>0.8</v>
      </c>
      <c r="AV17" s="91">
        <v>1</v>
      </c>
      <c r="AW17" s="91">
        <v>0.9</v>
      </c>
      <c r="AX17" s="91">
        <v>1.2</v>
      </c>
      <c r="AY17" s="88">
        <f>SUM(AU17:AX17)</f>
        <v>3.9000000000000004</v>
      </c>
      <c r="AZ17" s="92">
        <v>2</v>
      </c>
      <c r="BA17" s="91">
        <v>1.5</v>
      </c>
      <c r="BB17" s="91">
        <v>1.7</v>
      </c>
      <c r="BC17" s="91">
        <v>2.4</v>
      </c>
      <c r="BD17" s="87">
        <f>SUM(AZ17:BC17)</f>
        <v>7.6</v>
      </c>
      <c r="BE17" s="92">
        <v>2.4</v>
      </c>
      <c r="BF17" s="91">
        <v>2.4</v>
      </c>
      <c r="BG17" s="91">
        <v>2</v>
      </c>
      <c r="BH17" s="91">
        <v>1.6</v>
      </c>
      <c r="BI17" s="87">
        <f>SUM(BE17:BH17)</f>
        <v>8.4</v>
      </c>
      <c r="BJ17" s="91">
        <v>1.4</v>
      </c>
      <c r="BK17" s="91">
        <v>2.6</v>
      </c>
      <c r="BL17" s="91">
        <v>1.5</v>
      </c>
      <c r="BM17" s="91">
        <v>1.9</v>
      </c>
      <c r="BN17" s="88">
        <f>SUM(BJ17:BM17)</f>
        <v>7.4</v>
      </c>
      <c r="BO17" s="91">
        <v>0.9</v>
      </c>
      <c r="BP17" s="91">
        <v>1</v>
      </c>
      <c r="BQ17" s="91">
        <v>0.5</v>
      </c>
      <c r="BR17" s="91">
        <v>0.7</v>
      </c>
      <c r="BS17" s="88">
        <f>SUM(BO17:BR17)</f>
        <v>3.0999999999999996</v>
      </c>
      <c r="BT17" s="91">
        <v>0.9</v>
      </c>
      <c r="BU17" s="91">
        <v>0.8</v>
      </c>
      <c r="BV17" s="91">
        <v>0.6</v>
      </c>
      <c r="BW17" s="91">
        <v>0.3</v>
      </c>
      <c r="BX17" s="88">
        <f>SUM(BT17:BW17)</f>
        <v>2.6</v>
      </c>
      <c r="BY17" s="91">
        <v>1.2</v>
      </c>
      <c r="BZ17" s="91">
        <v>1.1000000000000001</v>
      </c>
      <c r="CA17" s="26">
        <v>0.8</v>
      </c>
      <c r="CB17" s="26">
        <v>1</v>
      </c>
      <c r="CC17" s="88">
        <f>SUM(BY17:CB17)</f>
        <v>4.0999999999999996</v>
      </c>
      <c r="CD17" s="91">
        <v>1.1000000000000001</v>
      </c>
      <c r="CE17" s="26">
        <v>1.1000000000000001</v>
      </c>
      <c r="CF17" s="26">
        <v>1.5</v>
      </c>
      <c r="CG17" s="26">
        <v>1.7</v>
      </c>
      <c r="CH17" s="88">
        <f>SUM(CD17:CG17)</f>
        <v>5.4</v>
      </c>
      <c r="CI17" s="91">
        <v>1</v>
      </c>
      <c r="CJ17" s="91">
        <v>2.4</v>
      </c>
      <c r="CK17" s="26">
        <v>1</v>
      </c>
      <c r="CL17" s="26">
        <v>2.2000000000000002</v>
      </c>
      <c r="CM17" s="88">
        <f>SUM(CI17:CL17)</f>
        <v>6.6000000000000005</v>
      </c>
      <c r="CN17" s="91">
        <v>1</v>
      </c>
      <c r="CO17" s="91">
        <v>1.8</v>
      </c>
      <c r="CP17" s="26">
        <v>1.8</v>
      </c>
      <c r="CQ17" s="26">
        <v>2</v>
      </c>
      <c r="CR17" s="88">
        <f>SUM(CN17:CQ17)</f>
        <v>6.6</v>
      </c>
    </row>
    <row r="18" spans="1:96" x14ac:dyDescent="0.2">
      <c r="A18" s="1" t="s">
        <v>98</v>
      </c>
      <c r="B18" s="17">
        <f t="shared" ref="B18:H18" si="118">+B14-B16+B17</f>
        <v>83.899999999999878</v>
      </c>
      <c r="C18" s="17">
        <f t="shared" si="118"/>
        <v>79.899999999999991</v>
      </c>
      <c r="D18" s="17">
        <f t="shared" si="118"/>
        <v>97.000000000000014</v>
      </c>
      <c r="E18" s="17">
        <f t="shared" si="118"/>
        <v>58.600000000000037</v>
      </c>
      <c r="F18" s="20">
        <f t="shared" si="118"/>
        <v>319.40000000000009</v>
      </c>
      <c r="G18" s="17">
        <f t="shared" si="118"/>
        <v>58.299999999999898</v>
      </c>
      <c r="H18" s="17">
        <f t="shared" si="118"/>
        <v>73.399999999999878</v>
      </c>
      <c r="I18" s="17">
        <f t="shared" ref="I18:U18" si="119">+I14-I16+I17</f>
        <v>90.9</v>
      </c>
      <c r="J18" s="17">
        <f t="shared" si="119"/>
        <v>8.2000000000000615</v>
      </c>
      <c r="K18" s="20">
        <f t="shared" si="119"/>
        <v>230.79999999999959</v>
      </c>
      <c r="L18" s="17">
        <f t="shared" si="119"/>
        <v>18.499999999999993</v>
      </c>
      <c r="M18" s="17">
        <f t="shared" si="119"/>
        <v>43.299999999999933</v>
      </c>
      <c r="N18" s="17">
        <f t="shared" si="119"/>
        <v>86.999999999999957</v>
      </c>
      <c r="O18" s="17">
        <f t="shared" si="119"/>
        <v>68.700000000000045</v>
      </c>
      <c r="P18" s="20">
        <f t="shared" si="119"/>
        <v>217.50000000000028</v>
      </c>
      <c r="Q18" s="17">
        <f t="shared" si="119"/>
        <v>69</v>
      </c>
      <c r="R18" s="17">
        <f>+R14-R16+R17</f>
        <v>77.099999999999923</v>
      </c>
      <c r="S18" s="17">
        <f>+S14-S16+S17</f>
        <v>68.000000000000057</v>
      </c>
      <c r="T18" s="17">
        <f t="shared" si="119"/>
        <v>41.400000000000013</v>
      </c>
      <c r="U18" s="20">
        <f t="shared" si="119"/>
        <v>255.50000000000011</v>
      </c>
      <c r="V18" s="17">
        <f>+V14-V16+V17</f>
        <v>66.2</v>
      </c>
      <c r="W18" s="17">
        <f>+W14-W16+W17</f>
        <v>72.000000000000085</v>
      </c>
      <c r="X18" s="17">
        <f>+X14-X16+X17</f>
        <v>63.399999999999963</v>
      </c>
      <c r="Y18" s="17">
        <f t="shared" ref="Y18" si="120">+Y14-Y16+Y17</f>
        <v>41.200000000000031</v>
      </c>
      <c r="Z18" s="20">
        <f t="shared" ref="Z18" si="121">+Z14-Z16+Z17</f>
        <v>242.80000000000007</v>
      </c>
      <c r="AA18" s="17">
        <f>+AA14-AA16+AA17</f>
        <v>63.999999999999957</v>
      </c>
      <c r="AB18" s="17">
        <f>+AB14-AB16+AB17</f>
        <v>77.899999999999949</v>
      </c>
      <c r="AC18" s="17">
        <f>+AC14-AC16+AC17</f>
        <v>77.899999999999963</v>
      </c>
      <c r="AD18" s="17">
        <f t="shared" ref="AD18" si="122">+AD14-AD16+AD17</f>
        <v>67.699999999999903</v>
      </c>
      <c r="AE18" s="20">
        <f t="shared" ref="AE18" si="123">+AE14-AE16+AE17</f>
        <v>287.50000000000034</v>
      </c>
      <c r="AF18" s="17">
        <f>+AF14-AF16+AF17</f>
        <v>68.399999999999977</v>
      </c>
      <c r="AG18" s="17">
        <f>+AG14-AG16+AG17</f>
        <v>82.400000000000063</v>
      </c>
      <c r="AH18" s="17">
        <f>+AH14-AH16+AH17</f>
        <v>81.800000000000026</v>
      </c>
      <c r="AI18" s="17">
        <f t="shared" ref="AI18" si="124">+AI14-AI16+AI17</f>
        <v>63.10000000000003</v>
      </c>
      <c r="AJ18" s="20">
        <f t="shared" ref="AJ18" si="125">+AJ14-AJ16+AJ17</f>
        <v>295.7000000000001</v>
      </c>
      <c r="AK18" s="17">
        <f>+AK14-AK16+AK17</f>
        <v>76.799999999999969</v>
      </c>
      <c r="AL18" s="17">
        <f>+AL14-AL16+AL17</f>
        <v>93.20000000000006</v>
      </c>
      <c r="AM18" s="17">
        <f>+AM14-AM16+AM17</f>
        <v>98</v>
      </c>
      <c r="AN18" s="17">
        <f t="shared" ref="AN18" si="126">+AN14-AN16+AN17</f>
        <v>80.999999999999957</v>
      </c>
      <c r="AO18" s="20">
        <f t="shared" ref="AO18" si="127">+AO14-AO16+AO17</f>
        <v>349.00000000000051</v>
      </c>
      <c r="AP18" s="17">
        <f>+AP14-AP16+AP17</f>
        <v>102.50000000000006</v>
      </c>
      <c r="AQ18" s="17">
        <f>+AQ14-AQ16+AQ17</f>
        <v>104.29999999999988</v>
      </c>
      <c r="AR18" s="17">
        <f>+AR14-AR16+AR17</f>
        <v>118.2999999999999</v>
      </c>
      <c r="AS18" s="17">
        <f t="shared" ref="AS18" si="128">+AS14-AS16+AS17</f>
        <v>97.40000000000002</v>
      </c>
      <c r="AT18" s="87">
        <f t="shared" ref="AT18" si="129">+AT14-AT16+AT17</f>
        <v>422.49999999999949</v>
      </c>
      <c r="AU18" s="93">
        <f>+AU14-AU16+AU17</f>
        <v>118.40000000000008</v>
      </c>
      <c r="AV18" s="93">
        <f>+AV14-AV16+AV17</f>
        <v>130.29999999999978</v>
      </c>
      <c r="AW18" s="93">
        <f>+AW14-AW16+AW17</f>
        <v>116.49999999999993</v>
      </c>
      <c r="AX18" s="93">
        <f t="shared" ref="AX18:AY18" si="130">+AX14-AX16+AX17</f>
        <v>104.30000000000027</v>
      </c>
      <c r="AY18" s="87">
        <f t="shared" si="130"/>
        <v>469.4999999999996</v>
      </c>
      <c r="AZ18" s="94">
        <f t="shared" ref="AZ18:BE18" si="131">+AZ14-AZ16+AZ17</f>
        <v>107.09999999999991</v>
      </c>
      <c r="BA18" s="93">
        <f t="shared" si="131"/>
        <v>115.09999999999985</v>
      </c>
      <c r="BB18" s="93">
        <f t="shared" si="131"/>
        <v>115.29999999999981</v>
      </c>
      <c r="BC18" s="93">
        <f t="shared" si="131"/>
        <v>108.50000000000001</v>
      </c>
      <c r="BD18" s="87">
        <f t="shared" si="131"/>
        <v>445.99999999999955</v>
      </c>
      <c r="BE18" s="94">
        <f t="shared" si="131"/>
        <v>101.29999999999995</v>
      </c>
      <c r="BF18" s="93">
        <f t="shared" ref="BF18:BG18" si="132">+BF14-BF16+BF17</f>
        <v>119.95000000000016</v>
      </c>
      <c r="BG18" s="93">
        <f t="shared" si="132"/>
        <v>118.49999999999986</v>
      </c>
      <c r="BH18" s="93">
        <f t="shared" ref="BH18" si="133">+BH14-BH16+BH17</f>
        <v>113.55000000000005</v>
      </c>
      <c r="BI18" s="87">
        <f>+BI14-BI16+BI17</f>
        <v>453.34999999999974</v>
      </c>
      <c r="BJ18" s="93">
        <f t="shared" ref="BJ18" si="134">+BJ14-BJ16+BJ17</f>
        <v>85.899999999999892</v>
      </c>
      <c r="BK18" s="93">
        <f>+BK14-BK16+BK17</f>
        <v>104.30000000000004</v>
      </c>
      <c r="BL18" s="93">
        <f>+BL14-BL16+BL17</f>
        <v>119.04999999999987</v>
      </c>
      <c r="BM18" s="93">
        <f>+BM14-BM16+BM17</f>
        <v>105.43000000000015</v>
      </c>
      <c r="BN18" s="87">
        <f>+BN14-BN16+BN17</f>
        <v>414.72999999999996</v>
      </c>
      <c r="BO18" s="93">
        <f t="shared" ref="BO18:BR18" si="135">+BO14-BO16+BO17</f>
        <v>70.500000000000085</v>
      </c>
      <c r="BP18" s="93">
        <f t="shared" si="135"/>
        <v>29.899999999999977</v>
      </c>
      <c r="BQ18" s="93">
        <f t="shared" si="135"/>
        <v>135.54899999999998</v>
      </c>
      <c r="BR18" s="93">
        <f t="shared" si="135"/>
        <v>137.2000000000001</v>
      </c>
      <c r="BS18" s="87">
        <f>+BS14-BS16+BS17</f>
        <v>373.14900000000017</v>
      </c>
      <c r="BT18" s="93">
        <f>+BT14-BT16+BT17</f>
        <v>109.30000000000011</v>
      </c>
      <c r="BU18" s="93">
        <f>+BU14-BU16+BU17</f>
        <v>124.99999999999996</v>
      </c>
      <c r="BV18" s="93">
        <f>+BV14-BV16+BV17</f>
        <v>125.80000000000013</v>
      </c>
      <c r="BW18" s="93">
        <f>+BW14-BW16+BW17</f>
        <v>133.80000000000013</v>
      </c>
      <c r="BX18" s="87">
        <f t="shared" ref="BX18" si="136">+BX14-BX16+BX17</f>
        <v>493.90000000000066</v>
      </c>
      <c r="BY18" s="93">
        <f>+BY14-BY16+BY17</f>
        <v>118.09999999999997</v>
      </c>
      <c r="BZ18" s="93">
        <f>+BZ14-BZ16+BZ17</f>
        <v>123.00000000000009</v>
      </c>
      <c r="CA18" s="17">
        <f>+CA14-CA16+CA17</f>
        <v>93.5</v>
      </c>
      <c r="CB18" s="17">
        <f>+CB14-CB16+CB17</f>
        <v>68.999999999999915</v>
      </c>
      <c r="CC18" s="87">
        <f t="shared" ref="CC18" si="137">+CC14-CC16+CC17</f>
        <v>403.59999999999934</v>
      </c>
      <c r="CD18" s="93">
        <f>+CD14-CD16+CD17</f>
        <v>68.299999999999898</v>
      </c>
      <c r="CE18" s="93">
        <f>+CE14-CE16+CE17</f>
        <v>70.100000000000023</v>
      </c>
      <c r="CF18" s="93">
        <f>+CF14-CF16+CF17</f>
        <v>65.500000000000071</v>
      </c>
      <c r="CG18" s="93">
        <f>+CG14-CG16+CG17</f>
        <v>46.599999999999909</v>
      </c>
      <c r="CH18" s="87">
        <f t="shared" ref="CH18" si="138">+CH14-CH16+CH17</f>
        <v>250.50000000000017</v>
      </c>
      <c r="CI18" s="93">
        <f>+CI14-CI16+CI17</f>
        <v>43.100000000000037</v>
      </c>
      <c r="CJ18" s="93">
        <f>+CJ14-CJ16+CJ17</f>
        <v>51.199999999999704</v>
      </c>
      <c r="CK18" s="17">
        <f>+CK14-CK16+CK17</f>
        <v>56.09999999999998</v>
      </c>
      <c r="CL18" s="93">
        <f>+CL14-CL16+CL17</f>
        <v>36.900000000000176</v>
      </c>
      <c r="CM18" s="87">
        <f t="shared" ref="CM18" si="139">+CM14-CM16+CM17</f>
        <v>187.3</v>
      </c>
      <c r="CN18" s="93">
        <f>+CN14-CN16+CN17</f>
        <v>48.800000000000011</v>
      </c>
      <c r="CO18" s="93">
        <f>+CO14-CO16+CO17</f>
        <v>56.90000000000002</v>
      </c>
      <c r="CP18" s="17">
        <f>+CP14-CP16+CP17</f>
        <v>56.100000000000108</v>
      </c>
      <c r="CQ18" s="93">
        <f>+CQ14-CQ16+CQ17</f>
        <v>34.800000000000054</v>
      </c>
      <c r="CR18" s="87">
        <f t="shared" ref="CR18" si="140">+CR14-CR16+CR17</f>
        <v>196.59999999999988</v>
      </c>
    </row>
    <row r="19" spans="1:96" x14ac:dyDescent="0.2">
      <c r="A19" s="1" t="s">
        <v>99</v>
      </c>
      <c r="B19" s="26">
        <f>23.6+1</f>
        <v>24.6</v>
      </c>
      <c r="C19" s="26">
        <f>18+5</f>
        <v>23</v>
      </c>
      <c r="D19" s="26">
        <f>28.5+2</f>
        <v>30.5</v>
      </c>
      <c r="E19" s="26">
        <f>12.3+7</f>
        <v>19.3</v>
      </c>
      <c r="F19" s="21">
        <f>SUM(B19:E19)</f>
        <v>97.399999999999991</v>
      </c>
      <c r="G19" s="26">
        <f>18.9+0.8</f>
        <v>19.7</v>
      </c>
      <c r="H19" s="26">
        <f>26.2-2</f>
        <v>24.2</v>
      </c>
      <c r="I19" s="26">
        <f>37.1-5.5+1.5</f>
        <v>33.1</v>
      </c>
      <c r="J19" s="26">
        <f>-17.1+7.2+5.2+7.8</f>
        <v>3.0999999999999979</v>
      </c>
      <c r="K19" s="21">
        <f>SUM(G19:J19)</f>
        <v>80.099999999999994</v>
      </c>
      <c r="L19" s="26">
        <f>6.7+2.8</f>
        <v>9.5</v>
      </c>
      <c r="M19" s="26">
        <f>13.6+3.6</f>
        <v>17.2</v>
      </c>
      <c r="N19" s="26">
        <v>30.8</v>
      </c>
      <c r="O19" s="26">
        <f>26.2-6</f>
        <v>20.2</v>
      </c>
      <c r="P19" s="21">
        <f>SUM(L19:O19)</f>
        <v>77.7</v>
      </c>
      <c r="Q19" s="26">
        <f>21.5</f>
        <v>21.5</v>
      </c>
      <c r="R19" s="26">
        <v>23.5</v>
      </c>
      <c r="S19" s="26">
        <v>18.100000000000001</v>
      </c>
      <c r="T19" s="26">
        <v>8.8000000000000007</v>
      </c>
      <c r="U19" s="21">
        <f>SUM(Q19:T19)</f>
        <v>71.900000000000006</v>
      </c>
      <c r="V19" s="26">
        <v>19.899999999999999</v>
      </c>
      <c r="W19" s="26">
        <f>16.5</f>
        <v>16.5</v>
      </c>
      <c r="X19" s="26">
        <v>18.100000000000001</v>
      </c>
      <c r="Y19" s="26">
        <f>-4.7+13.2</f>
        <v>8.5</v>
      </c>
      <c r="Z19" s="21">
        <f>SUM(V19:Y19)</f>
        <v>63</v>
      </c>
      <c r="AA19" s="26">
        <v>20.2</v>
      </c>
      <c r="AB19" s="26">
        <v>19.899999999999999</v>
      </c>
      <c r="AC19" s="26">
        <v>26.8</v>
      </c>
      <c r="AD19" s="26">
        <f>-11.2+27</f>
        <v>15.8</v>
      </c>
      <c r="AE19" s="21">
        <f>SUM(AA19:AD19)</f>
        <v>82.699999999999989</v>
      </c>
      <c r="AF19" s="26">
        <v>18.7</v>
      </c>
      <c r="AG19" s="26">
        <v>22.8</v>
      </c>
      <c r="AH19" s="26">
        <v>24</v>
      </c>
      <c r="AI19" s="26">
        <f>-14.2+21.5</f>
        <v>7.3000000000000007</v>
      </c>
      <c r="AJ19" s="21">
        <f>SUM(AF19:AI19)</f>
        <v>72.8</v>
      </c>
      <c r="AK19" s="26">
        <v>20.8</v>
      </c>
      <c r="AL19" s="26">
        <v>23.6</v>
      </c>
      <c r="AM19" s="26">
        <f>13.1+12</f>
        <v>25.1</v>
      </c>
      <c r="AN19" s="26">
        <f>12.8+9</f>
        <v>21.8</v>
      </c>
      <c r="AO19" s="21">
        <f>SUM(AK19:AN19)</f>
        <v>91.3</v>
      </c>
      <c r="AP19" s="26">
        <f>26.8+1.9</f>
        <v>28.7</v>
      </c>
      <c r="AQ19" s="26">
        <f>30+0.5</f>
        <v>30.5</v>
      </c>
      <c r="AR19" s="26">
        <v>30.7</v>
      </c>
      <c r="AS19" s="26">
        <f>15.2+1.5+4.6</f>
        <v>21.299999999999997</v>
      </c>
      <c r="AT19" s="88">
        <f>SUM(AP19:AS19)</f>
        <v>111.2</v>
      </c>
      <c r="AU19" s="91">
        <v>27.5</v>
      </c>
      <c r="AV19" s="91">
        <f>40.9+0.5-4.2-2</f>
        <v>35.199999999999996</v>
      </c>
      <c r="AW19" s="91">
        <v>25.9</v>
      </c>
      <c r="AX19" s="91">
        <f>30.9-6.6</f>
        <v>24.299999999999997</v>
      </c>
      <c r="AY19" s="88">
        <f>SUM(AU19:AX19)</f>
        <v>112.89999999999999</v>
      </c>
      <c r="AZ19" s="91">
        <v>21.1</v>
      </c>
      <c r="BA19" s="91">
        <v>26.5</v>
      </c>
      <c r="BB19" s="91">
        <f>19.8+1.9+6.5</f>
        <v>28.2</v>
      </c>
      <c r="BC19" s="91">
        <f>71-8.3+5.8+1.9-50.4</f>
        <v>20.000000000000007</v>
      </c>
      <c r="BD19" s="88">
        <f>SUM(AZ19:BC19)</f>
        <v>95.800000000000011</v>
      </c>
      <c r="BE19" s="91">
        <v>19</v>
      </c>
      <c r="BF19" s="91">
        <v>25.5</v>
      </c>
      <c r="BG19" s="91">
        <f>24.6+1.8</f>
        <v>26.400000000000002</v>
      </c>
      <c r="BH19" s="91">
        <f>15+4+3.8+1.3</f>
        <v>24.1</v>
      </c>
      <c r="BI19" s="88">
        <f>SUM(BE19:BH19)</f>
        <v>95</v>
      </c>
      <c r="BJ19" s="91">
        <f>17.2+1.4+0.2</f>
        <v>18.799999999999997</v>
      </c>
      <c r="BK19" s="91">
        <f>25.4-0.1</f>
        <v>25.299999999999997</v>
      </c>
      <c r="BL19" s="91">
        <v>22</v>
      </c>
      <c r="BM19" s="91">
        <f>24.8-0.4</f>
        <v>24.400000000000002</v>
      </c>
      <c r="BN19" s="88">
        <f>SUM(BJ19:BM19)</f>
        <v>90.5</v>
      </c>
      <c r="BO19" s="91">
        <f>14.5+2.1+0.9-0.1</f>
        <v>17.399999999999999</v>
      </c>
      <c r="BP19" s="91">
        <f>8.4+0.2</f>
        <v>8.6</v>
      </c>
      <c r="BQ19" s="91">
        <f>22.7+1.3</f>
        <v>24</v>
      </c>
      <c r="BR19" s="91">
        <v>29.2</v>
      </c>
      <c r="BS19" s="88">
        <f>SUM(BO19:BR19)</f>
        <v>79.2</v>
      </c>
      <c r="BT19" s="91">
        <v>21.8</v>
      </c>
      <c r="BU19" s="91">
        <f>40.9-7</f>
        <v>33.9</v>
      </c>
      <c r="BV19" s="91">
        <v>28.6</v>
      </c>
      <c r="BW19" s="91">
        <v>28.2</v>
      </c>
      <c r="BX19" s="88">
        <f>SUM(BT19:BW19)</f>
        <v>112.50000000000001</v>
      </c>
      <c r="BY19" s="91">
        <v>27.7</v>
      </c>
      <c r="BZ19" s="91">
        <v>27.8</v>
      </c>
      <c r="CA19" s="26">
        <v>22</v>
      </c>
      <c r="CB19" s="26">
        <v>16.2</v>
      </c>
      <c r="CC19" s="88">
        <f>SUM(BY19:CB19)</f>
        <v>93.7</v>
      </c>
      <c r="CD19" s="91">
        <v>14.8</v>
      </c>
      <c r="CE19" s="91">
        <f>19.5-0.9</f>
        <v>18.600000000000001</v>
      </c>
      <c r="CF19" s="26">
        <f>18-0.9</f>
        <v>17.100000000000001</v>
      </c>
      <c r="CG19" s="26">
        <f>-88.9-1.3-1.3+102.5</f>
        <v>11</v>
      </c>
      <c r="CH19" s="88">
        <f>SUM(CD19:CG19)</f>
        <v>61.500000000000007</v>
      </c>
      <c r="CI19" s="91">
        <f>10.8+2.6-1.9-0.5</f>
        <v>11</v>
      </c>
      <c r="CJ19" s="91">
        <f>-32.2+2.6-1.1-0.1+42.3</f>
        <v>11.499999999999993</v>
      </c>
      <c r="CK19" s="26">
        <f>12.8+3-3.4</f>
        <v>12.4</v>
      </c>
      <c r="CL19" s="26">
        <f>10.8+3.5-1+0.2-5.4</f>
        <v>8.1</v>
      </c>
      <c r="CM19" s="88">
        <f>SUM(CI19:CL19)</f>
        <v>42.999999999999993</v>
      </c>
      <c r="CN19" s="91">
        <f>14.5+1.7-0.4</f>
        <v>15.799999999999999</v>
      </c>
      <c r="CO19" s="91">
        <f>19.2+0.9-4.5</f>
        <v>15.599999999999998</v>
      </c>
      <c r="CP19" s="26">
        <f>27.2+0.9-0.6-3.2-6.1-2.3</f>
        <v>15.899999999999995</v>
      </c>
      <c r="CQ19" s="26">
        <f>-6.6+5.1-1.2-5.3-0.3+10.9+0.8</f>
        <v>3.3999999999999995</v>
      </c>
      <c r="CR19" s="88">
        <f>SUM(CN19:CQ19)</f>
        <v>50.699999999999996</v>
      </c>
    </row>
    <row r="20" spans="1:96" x14ac:dyDescent="0.2">
      <c r="A20" s="1" t="s">
        <v>187</v>
      </c>
      <c r="B20" s="17">
        <f t="shared" ref="B20:K20" si="141">+B18-B19</f>
        <v>59.299999999999876</v>
      </c>
      <c r="C20" s="17">
        <f t="shared" si="141"/>
        <v>56.899999999999991</v>
      </c>
      <c r="D20" s="17">
        <f t="shared" si="141"/>
        <v>66.500000000000014</v>
      </c>
      <c r="E20" s="17">
        <f t="shared" si="141"/>
        <v>39.30000000000004</v>
      </c>
      <c r="F20" s="20">
        <f t="shared" si="141"/>
        <v>222.00000000000011</v>
      </c>
      <c r="G20" s="17">
        <f t="shared" si="141"/>
        <v>38.599999999999895</v>
      </c>
      <c r="H20" s="17">
        <f t="shared" si="141"/>
        <v>49.199999999999875</v>
      </c>
      <c r="I20" s="17">
        <f t="shared" si="141"/>
        <v>57.800000000000004</v>
      </c>
      <c r="J20" s="17">
        <f t="shared" si="141"/>
        <v>5.1000000000000636</v>
      </c>
      <c r="K20" s="20">
        <f t="shared" si="141"/>
        <v>150.69999999999959</v>
      </c>
      <c r="L20" s="17">
        <f t="shared" ref="L20:U20" si="142">L18-L19</f>
        <v>8.9999999999999929</v>
      </c>
      <c r="M20" s="17">
        <f t="shared" si="142"/>
        <v>26.099999999999934</v>
      </c>
      <c r="N20" s="17">
        <f t="shared" si="142"/>
        <v>56.19999999999996</v>
      </c>
      <c r="O20" s="17">
        <f t="shared" si="142"/>
        <v>48.500000000000043</v>
      </c>
      <c r="P20" s="20">
        <f t="shared" si="142"/>
        <v>139.8000000000003</v>
      </c>
      <c r="Q20" s="17">
        <f t="shared" si="142"/>
        <v>47.5</v>
      </c>
      <c r="R20" s="17">
        <f t="shared" si="142"/>
        <v>53.599999999999923</v>
      </c>
      <c r="S20" s="17">
        <f>S18-S19</f>
        <v>49.900000000000055</v>
      </c>
      <c r="T20" s="17">
        <f t="shared" si="142"/>
        <v>32.600000000000009</v>
      </c>
      <c r="U20" s="20">
        <f t="shared" si="142"/>
        <v>183.60000000000011</v>
      </c>
      <c r="V20" s="17">
        <f t="shared" ref="V20" si="143">V18-V19</f>
        <v>46.300000000000004</v>
      </c>
      <c r="W20" s="17">
        <f>W18-W19</f>
        <v>55.500000000000085</v>
      </c>
      <c r="X20" s="17">
        <f>X18-X19</f>
        <v>45.299999999999962</v>
      </c>
      <c r="Y20" s="17">
        <f t="shared" ref="Y20:Z20" si="144">Y18-Y19</f>
        <v>32.700000000000031</v>
      </c>
      <c r="Z20" s="20">
        <f t="shared" si="144"/>
        <v>179.80000000000007</v>
      </c>
      <c r="AA20" s="17">
        <f>AA18-AA19</f>
        <v>43.799999999999955</v>
      </c>
      <c r="AB20" s="17">
        <f>AB18-AB19</f>
        <v>57.99999999999995</v>
      </c>
      <c r="AC20" s="17">
        <f>AC18-AC19</f>
        <v>51.099999999999966</v>
      </c>
      <c r="AD20" s="17">
        <f t="shared" ref="AD20" si="145">AD18-AD19</f>
        <v>51.899999999999906</v>
      </c>
      <c r="AE20" s="20">
        <f t="shared" ref="AE20" si="146">AE18-AE19</f>
        <v>204.80000000000035</v>
      </c>
      <c r="AF20" s="17">
        <f>AF18-AF19</f>
        <v>49.699999999999974</v>
      </c>
      <c r="AG20" s="17">
        <f>AG18-AG19</f>
        <v>59.600000000000065</v>
      </c>
      <c r="AH20" s="17">
        <f>AH18-AH19</f>
        <v>57.800000000000026</v>
      </c>
      <c r="AI20" s="17">
        <f t="shared" ref="AI20" si="147">AI18-AI19</f>
        <v>55.800000000000026</v>
      </c>
      <c r="AJ20" s="20">
        <f t="shared" ref="AJ20" si="148">AJ18-AJ19</f>
        <v>222.90000000000009</v>
      </c>
      <c r="AK20" s="17">
        <f>AK18-AK19</f>
        <v>55.999999999999972</v>
      </c>
      <c r="AL20" s="17">
        <f>AL18-AL19</f>
        <v>69.600000000000051</v>
      </c>
      <c r="AM20" s="17">
        <f>AM18-AM19</f>
        <v>72.900000000000006</v>
      </c>
      <c r="AN20" s="17">
        <f t="shared" ref="AN20" si="149">AN18-AN19</f>
        <v>59.19999999999996</v>
      </c>
      <c r="AO20" s="20">
        <f t="shared" ref="AO20" si="150">AO18-AO19</f>
        <v>257.7000000000005</v>
      </c>
      <c r="AP20" s="17">
        <f>AP18-AP19</f>
        <v>73.800000000000054</v>
      </c>
      <c r="AQ20" s="17">
        <f>AQ18-AQ19</f>
        <v>73.799999999999883</v>
      </c>
      <c r="AR20" s="17">
        <f>AR18-AR19</f>
        <v>87.599999999999895</v>
      </c>
      <c r="AS20" s="17">
        <f t="shared" ref="AS20" si="151">AS18-AS19</f>
        <v>76.100000000000023</v>
      </c>
      <c r="AT20" s="87">
        <f t="shared" ref="AT20" si="152">AT18-AT19</f>
        <v>311.2999999999995</v>
      </c>
      <c r="AU20" s="93">
        <f>AU18-AU19</f>
        <v>90.900000000000077</v>
      </c>
      <c r="AV20" s="93">
        <f>AV18-AV19</f>
        <v>95.099999999999795</v>
      </c>
      <c r="AW20" s="93">
        <f>AW18-AW19</f>
        <v>90.599999999999937</v>
      </c>
      <c r="AX20" s="93">
        <f t="shared" ref="AX20:AY20" si="153">AX18-AX19</f>
        <v>80.00000000000027</v>
      </c>
      <c r="AY20" s="87">
        <f t="shared" si="153"/>
        <v>356.59999999999962</v>
      </c>
      <c r="AZ20" s="94">
        <f>AZ18-AZ19</f>
        <v>85.999999999999915</v>
      </c>
      <c r="BA20" s="93">
        <f>BA18-BA19</f>
        <v>88.599999999999852</v>
      </c>
      <c r="BB20" s="93">
        <f>BB18-BB19</f>
        <v>87.09999999999981</v>
      </c>
      <c r="BC20" s="93">
        <f>BC18-BC19</f>
        <v>88.5</v>
      </c>
      <c r="BD20" s="87">
        <f>+BD18-BD19</f>
        <v>350.19999999999953</v>
      </c>
      <c r="BE20" s="94">
        <f>BE18-BE19</f>
        <v>82.299999999999955</v>
      </c>
      <c r="BF20" s="93">
        <f>BF18-BF19</f>
        <v>94.450000000000159</v>
      </c>
      <c r="BG20" s="93">
        <f>BG18-BG19</f>
        <v>92.099999999999852</v>
      </c>
      <c r="BH20" s="93">
        <f>BH18-BH19</f>
        <v>89.450000000000045</v>
      </c>
      <c r="BI20" s="87">
        <f>+BI18-BI19-0.05</f>
        <v>358.29999999999973</v>
      </c>
      <c r="BJ20" s="93">
        <f>BJ18-BJ19</f>
        <v>67.099999999999895</v>
      </c>
      <c r="BK20" s="93">
        <f>BK18-BK19</f>
        <v>79.000000000000043</v>
      </c>
      <c r="BL20" s="93">
        <f>BL18-BL19</f>
        <v>97.049999999999869</v>
      </c>
      <c r="BM20" s="93">
        <f>BM18-BM19</f>
        <v>81.030000000000143</v>
      </c>
      <c r="BN20" s="87">
        <f>+BN18-BN19</f>
        <v>324.22999999999996</v>
      </c>
      <c r="BO20" s="93">
        <f>BO18-BO19</f>
        <v>53.100000000000087</v>
      </c>
      <c r="BP20" s="93">
        <f t="shared" ref="BP20:BR20" si="154">BP18-BP19</f>
        <v>21.299999999999976</v>
      </c>
      <c r="BQ20" s="93">
        <f>BQ18-BQ19</f>
        <v>111.54899999999998</v>
      </c>
      <c r="BR20" s="93">
        <f t="shared" si="154"/>
        <v>108.0000000000001</v>
      </c>
      <c r="BS20" s="87">
        <f>+BS18-BS19</f>
        <v>293.94900000000018</v>
      </c>
      <c r="BT20" s="93">
        <f>BT18-BT19</f>
        <v>87.500000000000114</v>
      </c>
      <c r="BU20" s="93">
        <f>BU18-BU19</f>
        <v>91.099999999999966</v>
      </c>
      <c r="BV20" s="93">
        <f>BV18-BV19</f>
        <v>97.200000000000131</v>
      </c>
      <c r="BW20" s="93">
        <f>BW18-BW19</f>
        <v>105.60000000000012</v>
      </c>
      <c r="BX20" s="87">
        <f t="shared" ref="BX20" si="155">BX18-BX19</f>
        <v>381.40000000000066</v>
      </c>
      <c r="BY20" s="93">
        <f>BY18-BY19</f>
        <v>90.399999999999963</v>
      </c>
      <c r="BZ20" s="93">
        <f>BZ18-BZ19</f>
        <v>95.200000000000088</v>
      </c>
      <c r="CA20" s="17">
        <f>CA18-CA19</f>
        <v>71.5</v>
      </c>
      <c r="CB20" s="17">
        <f>CB18-CB19</f>
        <v>52.799999999999912</v>
      </c>
      <c r="CC20" s="87">
        <f t="shared" ref="CC20" si="156">CC18-CC19</f>
        <v>309.89999999999935</v>
      </c>
      <c r="CD20" s="93">
        <f>CD18-CD19</f>
        <v>53.499999999999901</v>
      </c>
      <c r="CE20" s="93">
        <f>CE18-CE19</f>
        <v>51.500000000000021</v>
      </c>
      <c r="CF20" s="93">
        <f>CF18-CF19</f>
        <v>48.40000000000007</v>
      </c>
      <c r="CG20" s="93">
        <f>CG18-CG19</f>
        <v>35.599999999999909</v>
      </c>
      <c r="CH20" s="87">
        <f t="shared" ref="CH20" si="157">CH18-CH19</f>
        <v>189.00000000000017</v>
      </c>
      <c r="CI20" s="93">
        <f>CI18-CI19</f>
        <v>32.100000000000037</v>
      </c>
      <c r="CJ20" s="93">
        <f>CJ18-CJ19</f>
        <v>39.699999999999712</v>
      </c>
      <c r="CK20" s="17">
        <f>CK18-CK19</f>
        <v>43.699999999999982</v>
      </c>
      <c r="CL20" s="93">
        <f>CL18-CL19</f>
        <v>28.800000000000175</v>
      </c>
      <c r="CM20" s="87">
        <f t="shared" ref="CM20" si="158">CM18-CM19</f>
        <v>144.30000000000001</v>
      </c>
      <c r="CN20" s="93">
        <f>CN18-CN19</f>
        <v>33.000000000000014</v>
      </c>
      <c r="CO20" s="93">
        <f>CO18-CO19</f>
        <v>41.300000000000026</v>
      </c>
      <c r="CP20" s="17">
        <f>CP18-CP19</f>
        <v>40.200000000000117</v>
      </c>
      <c r="CQ20" s="93">
        <f>CQ18-CQ19</f>
        <v>31.400000000000055</v>
      </c>
      <c r="CR20" s="87">
        <f t="shared" ref="CR20" si="159">CR18-CR19</f>
        <v>145.89999999999989</v>
      </c>
    </row>
    <row r="21" spans="1:96" x14ac:dyDescent="0.2">
      <c r="A21" s="1" t="s">
        <v>103</v>
      </c>
      <c r="B21" s="26">
        <v>0.9</v>
      </c>
      <c r="C21" s="26">
        <v>1.6</v>
      </c>
      <c r="D21" s="26">
        <v>1.4</v>
      </c>
      <c r="E21" s="26">
        <v>1.7</v>
      </c>
      <c r="F21" s="21">
        <f>SUM(B21:E21)</f>
        <v>5.6</v>
      </c>
      <c r="G21" s="26">
        <v>1.2</v>
      </c>
      <c r="H21" s="26">
        <v>1.7</v>
      </c>
      <c r="I21" s="26">
        <v>1.1000000000000001</v>
      </c>
      <c r="J21" s="26">
        <v>0.6</v>
      </c>
      <c r="K21" s="21">
        <f>SUM(G21:J21)</f>
        <v>4.5999999999999996</v>
      </c>
      <c r="L21" s="26">
        <v>-0.3</v>
      </c>
      <c r="M21" s="26">
        <v>-0.2</v>
      </c>
      <c r="N21" s="26">
        <v>1.4</v>
      </c>
      <c r="O21" s="26">
        <v>1.9</v>
      </c>
      <c r="P21" s="21">
        <f>SUM(L21:O21)</f>
        <v>2.8</v>
      </c>
      <c r="Q21" s="26">
        <v>1.8</v>
      </c>
      <c r="R21" s="26">
        <v>1.4</v>
      </c>
      <c r="S21" s="26">
        <v>1.9</v>
      </c>
      <c r="T21" s="26">
        <v>1.1000000000000001</v>
      </c>
      <c r="U21" s="21">
        <f>SUM(Q21:T21)</f>
        <v>6.1999999999999993</v>
      </c>
      <c r="V21" s="26">
        <v>1.3</v>
      </c>
      <c r="W21" s="26">
        <v>0.8</v>
      </c>
      <c r="X21" s="26">
        <v>0.4</v>
      </c>
      <c r="Y21" s="26">
        <v>0.6</v>
      </c>
      <c r="Z21" s="21">
        <f>SUM(V21:Y21)</f>
        <v>3.1</v>
      </c>
      <c r="AA21" s="26">
        <v>0.5</v>
      </c>
      <c r="AB21" s="26">
        <v>0.5</v>
      </c>
      <c r="AC21" s="26">
        <v>0.8</v>
      </c>
      <c r="AD21" s="26">
        <v>0.5</v>
      </c>
      <c r="AE21" s="21">
        <f>SUM(AA21:AD21)</f>
        <v>2.2999999999999998</v>
      </c>
      <c r="AF21" s="26">
        <v>0.4</v>
      </c>
      <c r="AG21" s="26">
        <v>0.6</v>
      </c>
      <c r="AH21" s="26">
        <v>0.7</v>
      </c>
      <c r="AI21" s="26">
        <v>0.7</v>
      </c>
      <c r="AJ21" s="21">
        <f>SUM(AF21:AI21)</f>
        <v>2.4</v>
      </c>
      <c r="AK21" s="26">
        <v>0.6</v>
      </c>
      <c r="AL21" s="26">
        <v>0.8</v>
      </c>
      <c r="AM21" s="26">
        <v>0.8</v>
      </c>
      <c r="AN21" s="26">
        <v>1</v>
      </c>
      <c r="AO21" s="21">
        <f>SUM(AK21:AN21)</f>
        <v>3.2</v>
      </c>
      <c r="AP21" s="26">
        <v>1.1000000000000001</v>
      </c>
      <c r="AQ21" s="26">
        <v>0.8</v>
      </c>
      <c r="AR21" s="26">
        <v>0.9</v>
      </c>
      <c r="AS21" s="26">
        <v>1.3</v>
      </c>
      <c r="AT21" s="88">
        <f>SUM(AP21:AS21)</f>
        <v>4.1000000000000005</v>
      </c>
      <c r="AU21" s="91">
        <v>1.6</v>
      </c>
      <c r="AV21" s="91">
        <v>-1.4</v>
      </c>
      <c r="AW21" s="91">
        <v>0.1</v>
      </c>
      <c r="AX21" s="91">
        <v>0.1</v>
      </c>
      <c r="AY21" s="88">
        <f>SUM(AU21:AX21)</f>
        <v>0.40000000000000013</v>
      </c>
      <c r="AZ21" s="91">
        <v>0</v>
      </c>
      <c r="BA21" s="91">
        <v>0</v>
      </c>
      <c r="BB21" s="91">
        <v>0</v>
      </c>
      <c r="BC21" s="91">
        <v>0.1</v>
      </c>
      <c r="BD21" s="88">
        <f>SUM(AZ21:BC21)</f>
        <v>0.1</v>
      </c>
      <c r="BE21" s="91">
        <v>0</v>
      </c>
      <c r="BF21" s="91">
        <v>0.1</v>
      </c>
      <c r="BG21" s="91">
        <v>0</v>
      </c>
      <c r="BH21" s="91">
        <v>0.1</v>
      </c>
      <c r="BI21" s="88">
        <f>SUM(BE21:BH21)</f>
        <v>0.2</v>
      </c>
      <c r="BJ21" s="91">
        <v>-0.1</v>
      </c>
      <c r="BK21" s="91">
        <v>0.1</v>
      </c>
      <c r="BL21" s="91">
        <v>0</v>
      </c>
      <c r="BM21" s="91">
        <v>0.1</v>
      </c>
      <c r="BN21" s="88">
        <f>SUM(BJ21:BM21)</f>
        <v>0.1</v>
      </c>
      <c r="BO21" s="91">
        <v>0</v>
      </c>
      <c r="BP21" s="91">
        <v>0</v>
      </c>
      <c r="BQ21" s="91">
        <v>0.1</v>
      </c>
      <c r="BR21" s="91">
        <v>0</v>
      </c>
      <c r="BS21" s="88">
        <f>SUM(BO21:BR21)</f>
        <v>0.1</v>
      </c>
      <c r="BT21" s="91">
        <v>0</v>
      </c>
      <c r="BU21" s="91">
        <v>0.1</v>
      </c>
      <c r="BV21" s="91">
        <v>0</v>
      </c>
      <c r="BW21" s="91">
        <v>0.1</v>
      </c>
      <c r="BX21" s="88">
        <f>SUM(BT21:BW21)</f>
        <v>0.2</v>
      </c>
      <c r="BY21" s="91">
        <v>0</v>
      </c>
      <c r="BZ21" s="91">
        <v>0</v>
      </c>
      <c r="CA21" s="26">
        <v>0.1</v>
      </c>
      <c r="CB21" s="26">
        <v>0</v>
      </c>
      <c r="CC21" s="88">
        <f>SUM(BY21:CB21)</f>
        <v>0.1</v>
      </c>
      <c r="CD21" s="91">
        <v>0</v>
      </c>
      <c r="CE21" s="91">
        <v>0</v>
      </c>
      <c r="CF21" s="26">
        <v>0.1</v>
      </c>
      <c r="CG21" s="26">
        <v>-0.1</v>
      </c>
      <c r="CH21" s="88">
        <f>SUM(CD21:CG21)</f>
        <v>0</v>
      </c>
      <c r="CI21" s="91">
        <v>0</v>
      </c>
      <c r="CJ21" s="91">
        <v>0.1</v>
      </c>
      <c r="CK21" s="26">
        <v>0</v>
      </c>
      <c r="CL21" s="26">
        <v>0</v>
      </c>
      <c r="CM21" s="88">
        <f>SUM(CI21:CL21)</f>
        <v>0.1</v>
      </c>
      <c r="CN21" s="91">
        <v>0</v>
      </c>
      <c r="CO21" s="91">
        <v>0</v>
      </c>
      <c r="CP21" s="26">
        <v>0.1</v>
      </c>
      <c r="CQ21" s="26">
        <v>-0.1</v>
      </c>
      <c r="CR21" s="88">
        <f>SUM(CN21:CQ21)</f>
        <v>0</v>
      </c>
    </row>
    <row r="22" spans="1:96" ht="12.75" thickBot="1" x14ac:dyDescent="0.25">
      <c r="A22" s="6" t="s">
        <v>104</v>
      </c>
      <c r="B22" s="19">
        <f t="shared" ref="B22:K22" si="160">+B20-B21</f>
        <v>58.399999999999878</v>
      </c>
      <c r="C22" s="19">
        <f t="shared" si="160"/>
        <v>55.29999999999999</v>
      </c>
      <c r="D22" s="19">
        <f t="shared" si="160"/>
        <v>65.100000000000009</v>
      </c>
      <c r="E22" s="19">
        <f t="shared" si="160"/>
        <v>37.600000000000037</v>
      </c>
      <c r="F22" s="23">
        <f t="shared" si="160"/>
        <v>216.40000000000012</v>
      </c>
      <c r="G22" s="19">
        <f t="shared" si="160"/>
        <v>37.399999999999892</v>
      </c>
      <c r="H22" s="19">
        <f t="shared" si="160"/>
        <v>47.499999999999872</v>
      </c>
      <c r="I22" s="19">
        <f t="shared" si="160"/>
        <v>56.7</v>
      </c>
      <c r="J22" s="19">
        <f t="shared" si="160"/>
        <v>4.5000000000000639</v>
      </c>
      <c r="K22" s="23">
        <f t="shared" si="160"/>
        <v>146.0999999999996</v>
      </c>
      <c r="L22" s="19">
        <f t="shared" ref="L22:U22" si="161">+L20-L21</f>
        <v>9.2999999999999936</v>
      </c>
      <c r="M22" s="19">
        <f t="shared" si="161"/>
        <v>26.299999999999933</v>
      </c>
      <c r="N22" s="19">
        <f t="shared" si="161"/>
        <v>54.799999999999962</v>
      </c>
      <c r="O22" s="19">
        <f t="shared" si="161"/>
        <v>46.600000000000044</v>
      </c>
      <c r="P22" s="23">
        <f t="shared" si="161"/>
        <v>137.00000000000028</v>
      </c>
      <c r="Q22" s="19">
        <f t="shared" si="161"/>
        <v>45.7</v>
      </c>
      <c r="R22" s="19">
        <f t="shared" si="161"/>
        <v>52.199999999999925</v>
      </c>
      <c r="S22" s="19">
        <f t="shared" si="161"/>
        <v>48.000000000000057</v>
      </c>
      <c r="T22" s="19">
        <f t="shared" si="161"/>
        <v>31.500000000000007</v>
      </c>
      <c r="U22" s="23">
        <f t="shared" si="161"/>
        <v>177.40000000000012</v>
      </c>
      <c r="V22" s="19">
        <f t="shared" ref="V22:Z22" si="162">+V20-V21</f>
        <v>45.000000000000007</v>
      </c>
      <c r="W22" s="19">
        <f t="shared" si="162"/>
        <v>54.700000000000088</v>
      </c>
      <c r="X22" s="19">
        <f t="shared" si="162"/>
        <v>44.899999999999963</v>
      </c>
      <c r="Y22" s="19">
        <f t="shared" si="162"/>
        <v>32.10000000000003</v>
      </c>
      <c r="Z22" s="23">
        <f t="shared" si="162"/>
        <v>176.70000000000007</v>
      </c>
      <c r="AA22" s="19">
        <f t="shared" ref="AA22:AE22" si="163">+AA20-AA21</f>
        <v>43.299999999999955</v>
      </c>
      <c r="AB22" s="19">
        <f t="shared" si="163"/>
        <v>57.49999999999995</v>
      </c>
      <c r="AC22" s="19">
        <f t="shared" si="163"/>
        <v>50.299999999999969</v>
      </c>
      <c r="AD22" s="19">
        <f t="shared" si="163"/>
        <v>51.399999999999906</v>
      </c>
      <c r="AE22" s="23">
        <f t="shared" si="163"/>
        <v>202.50000000000034</v>
      </c>
      <c r="AF22" s="19">
        <f t="shared" ref="AF22:AJ22" si="164">+AF20-AF21</f>
        <v>49.299999999999976</v>
      </c>
      <c r="AG22" s="19">
        <f t="shared" si="164"/>
        <v>59.000000000000064</v>
      </c>
      <c r="AH22" s="19">
        <f t="shared" si="164"/>
        <v>57.100000000000023</v>
      </c>
      <c r="AI22" s="19">
        <f t="shared" si="164"/>
        <v>55.100000000000023</v>
      </c>
      <c r="AJ22" s="23">
        <f t="shared" si="164"/>
        <v>220.50000000000009</v>
      </c>
      <c r="AK22" s="19">
        <f t="shared" ref="AK22:AO22" si="165">+AK20-AK21</f>
        <v>55.39999999999997</v>
      </c>
      <c r="AL22" s="19">
        <f t="shared" si="165"/>
        <v>68.800000000000054</v>
      </c>
      <c r="AM22" s="19">
        <f t="shared" si="165"/>
        <v>72.100000000000009</v>
      </c>
      <c r="AN22" s="19">
        <f t="shared" si="165"/>
        <v>58.19999999999996</v>
      </c>
      <c r="AO22" s="23">
        <f t="shared" si="165"/>
        <v>254.50000000000051</v>
      </c>
      <c r="AP22" s="19">
        <f t="shared" ref="AP22:AT22" si="166">+AP20-AP21</f>
        <v>72.70000000000006</v>
      </c>
      <c r="AQ22" s="19">
        <f t="shared" si="166"/>
        <v>72.999999999999886</v>
      </c>
      <c r="AR22" s="19">
        <f t="shared" si="166"/>
        <v>86.699999999999889</v>
      </c>
      <c r="AS22" s="19">
        <f t="shared" si="166"/>
        <v>74.800000000000026</v>
      </c>
      <c r="AT22" s="97">
        <f t="shared" si="166"/>
        <v>307.19999999999948</v>
      </c>
      <c r="AU22" s="98">
        <f t="shared" ref="AU22:BC22" si="167">+AU20-AU21</f>
        <v>89.300000000000082</v>
      </c>
      <c r="AV22" s="98">
        <f t="shared" si="167"/>
        <v>96.499999999999801</v>
      </c>
      <c r="AW22" s="98">
        <f t="shared" si="167"/>
        <v>90.499999999999943</v>
      </c>
      <c r="AX22" s="98">
        <f t="shared" si="167"/>
        <v>79.900000000000276</v>
      </c>
      <c r="AY22" s="97">
        <f>+AY20-AY21</f>
        <v>356.19999999999965</v>
      </c>
      <c r="AZ22" s="99">
        <f t="shared" si="167"/>
        <v>85.999999999999915</v>
      </c>
      <c r="BA22" s="98">
        <f t="shared" si="167"/>
        <v>88.599999999999852</v>
      </c>
      <c r="BB22" s="98">
        <f t="shared" si="167"/>
        <v>87.09999999999981</v>
      </c>
      <c r="BC22" s="98">
        <f t="shared" si="167"/>
        <v>88.4</v>
      </c>
      <c r="BD22" s="90">
        <f>BD20-BD21</f>
        <v>350.09999999999951</v>
      </c>
      <c r="BE22" s="99">
        <f t="shared" ref="BE22" si="168">+BE20-BE21</f>
        <v>82.299999999999955</v>
      </c>
      <c r="BF22" s="98">
        <f t="shared" ref="BF22:BG22" si="169">+BF20-BF21</f>
        <v>94.350000000000165</v>
      </c>
      <c r="BG22" s="98">
        <f t="shared" si="169"/>
        <v>92.099999999999852</v>
      </c>
      <c r="BH22" s="98">
        <f t="shared" ref="BH22" si="170">+BH20-BH21</f>
        <v>89.350000000000051</v>
      </c>
      <c r="BI22" s="90">
        <f>BI20-BI21</f>
        <v>358.09999999999974</v>
      </c>
      <c r="BJ22" s="98">
        <f t="shared" ref="BJ22:BK22" si="171">+BJ20-BJ21</f>
        <v>67.199999999999889</v>
      </c>
      <c r="BK22" s="98">
        <f t="shared" si="171"/>
        <v>78.900000000000048</v>
      </c>
      <c r="BL22" s="98">
        <f t="shared" ref="BL22:BM22" si="172">+BL20-BL21</f>
        <v>97.049999999999869</v>
      </c>
      <c r="BM22" s="98">
        <f t="shared" si="172"/>
        <v>80.930000000000149</v>
      </c>
      <c r="BN22" s="90">
        <f>BN20-BN21</f>
        <v>324.12999999999994</v>
      </c>
      <c r="BO22" s="98">
        <f>+BO20-BO21</f>
        <v>53.100000000000087</v>
      </c>
      <c r="BP22" s="98">
        <f t="shared" ref="BP22:BR22" si="173">+BP20-BP21</f>
        <v>21.299999999999976</v>
      </c>
      <c r="BQ22" s="98">
        <f t="shared" si="173"/>
        <v>111.44899999999998</v>
      </c>
      <c r="BR22" s="98">
        <f t="shared" si="173"/>
        <v>108.0000000000001</v>
      </c>
      <c r="BS22" s="90">
        <f>BS20-BS21</f>
        <v>293.84900000000016</v>
      </c>
      <c r="BT22" s="98">
        <f t="shared" ref="BT22" si="174">+BT20-BT21</f>
        <v>87.500000000000114</v>
      </c>
      <c r="BU22" s="98">
        <f>+BU20-BU21</f>
        <v>90.999999999999972</v>
      </c>
      <c r="BV22" s="98">
        <f>+BV20-BV21</f>
        <v>97.200000000000131</v>
      </c>
      <c r="BW22" s="98">
        <f>+BW20-BW21</f>
        <v>105.50000000000013</v>
      </c>
      <c r="BX22" s="90">
        <f t="shared" ref="BX22:BY22" si="175">+BX20-BX21</f>
        <v>381.20000000000067</v>
      </c>
      <c r="BY22" s="98">
        <f t="shared" si="175"/>
        <v>90.399999999999963</v>
      </c>
      <c r="BZ22" s="98">
        <f>+BZ20-BZ21</f>
        <v>95.200000000000088</v>
      </c>
      <c r="CA22" s="98">
        <f>+CA20-CA21</f>
        <v>71.400000000000006</v>
      </c>
      <c r="CB22" s="18">
        <f t="shared" ref="CB22" si="176">+CB20+CB21</f>
        <v>52.799999999999912</v>
      </c>
      <c r="CC22" s="90">
        <f t="shared" ref="CC22:CL22" si="177">+CC20-CC21</f>
        <v>309.79999999999933</v>
      </c>
      <c r="CD22" s="98">
        <f t="shared" si="177"/>
        <v>53.499999999999901</v>
      </c>
      <c r="CE22" s="98">
        <f t="shared" si="177"/>
        <v>51.500000000000021</v>
      </c>
      <c r="CF22" s="98">
        <f t="shared" si="177"/>
        <v>48.300000000000068</v>
      </c>
      <c r="CG22" s="98">
        <f t="shared" si="177"/>
        <v>35.69999999999991</v>
      </c>
      <c r="CH22" s="90">
        <f>+CH20-CH21</f>
        <v>189.00000000000017</v>
      </c>
      <c r="CI22" s="98">
        <f t="shared" si="177"/>
        <v>32.100000000000037</v>
      </c>
      <c r="CJ22" s="98">
        <f t="shared" si="177"/>
        <v>39.59999999999971</v>
      </c>
      <c r="CK22" s="98">
        <f t="shared" si="177"/>
        <v>43.699999999999982</v>
      </c>
      <c r="CL22" s="98">
        <f t="shared" si="177"/>
        <v>28.800000000000175</v>
      </c>
      <c r="CM22" s="90">
        <f>+CM20-CM21</f>
        <v>144.20000000000002</v>
      </c>
      <c r="CN22" s="98">
        <f t="shared" ref="CN22:CQ22" si="178">+CN20-CN21</f>
        <v>33.000000000000014</v>
      </c>
      <c r="CO22" s="98">
        <f t="shared" si="178"/>
        <v>41.300000000000026</v>
      </c>
      <c r="CP22" s="98">
        <f>+CP20-CP21</f>
        <v>40.100000000000115</v>
      </c>
      <c r="CQ22" s="98">
        <f t="shared" si="178"/>
        <v>31.500000000000057</v>
      </c>
      <c r="CR22" s="90">
        <f>+CR20-CR21</f>
        <v>145.89999999999989</v>
      </c>
    </row>
    <row r="23" spans="1:96" ht="12.75" thickTop="1" x14ac:dyDescent="0.2">
      <c r="A23" s="8"/>
      <c r="B23" s="31">
        <f t="shared" ref="B23:K23" si="179">+B22/B5</f>
        <v>5.5746468117602026E-2</v>
      </c>
      <c r="C23" s="31">
        <f t="shared" si="179"/>
        <v>5.1658103689864537E-2</v>
      </c>
      <c r="D23" s="31">
        <f t="shared" si="179"/>
        <v>5.9604468046145401E-2</v>
      </c>
      <c r="E23" s="31">
        <f t="shared" si="179"/>
        <v>3.6164278157160751E-2</v>
      </c>
      <c r="F23" s="32">
        <f t="shared" si="179"/>
        <v>5.0917647058823561E-2</v>
      </c>
      <c r="G23" s="31">
        <f t="shared" si="179"/>
        <v>3.7463688270058991E-2</v>
      </c>
      <c r="H23" s="31">
        <f t="shared" si="179"/>
        <v>4.468065092653549E-2</v>
      </c>
      <c r="I23" s="31">
        <f t="shared" si="179"/>
        <v>5.0079491255961846E-2</v>
      </c>
      <c r="J23" s="31">
        <f t="shared" si="179"/>
        <v>5.0991501416431323E-3</v>
      </c>
      <c r="K23" s="32">
        <f t="shared" si="179"/>
        <v>3.5843085302126938E-2</v>
      </c>
      <c r="L23" s="31">
        <f t="shared" ref="L23:U23" si="180">+L22/L5</f>
        <v>1.2950842501044413E-2</v>
      </c>
      <c r="M23" s="31">
        <f t="shared" si="180"/>
        <v>3.4724055980987503E-2</v>
      </c>
      <c r="N23" s="31">
        <f t="shared" si="180"/>
        <v>6.7662674404247392E-2</v>
      </c>
      <c r="O23" s="31">
        <f t="shared" si="180"/>
        <v>6.0543068728075924E-2</v>
      </c>
      <c r="P23" s="32">
        <f t="shared" si="180"/>
        <v>4.4843049327354348E-2</v>
      </c>
      <c r="Q23" s="31">
        <f t="shared" si="180"/>
        <v>5.5977462028417448E-2</v>
      </c>
      <c r="R23" s="31">
        <f t="shared" si="180"/>
        <v>5.9704906782568831E-2</v>
      </c>
      <c r="S23" s="31">
        <f t="shared" si="180"/>
        <v>5.5395268320830991E-2</v>
      </c>
      <c r="T23" s="31">
        <f t="shared" si="180"/>
        <v>3.9281705948372624E-2</v>
      </c>
      <c r="U23" s="32">
        <f t="shared" si="180"/>
        <v>5.2811765056116261E-2</v>
      </c>
      <c r="V23" s="31">
        <f t="shared" ref="V23:AC23" si="181">+V22/V5</f>
        <v>5.0234427327528475E-2</v>
      </c>
      <c r="W23" s="31">
        <f t="shared" si="181"/>
        <v>5.7871349978840546E-2</v>
      </c>
      <c r="X23" s="31">
        <f t="shared" si="181"/>
        <v>4.7720267828674633E-2</v>
      </c>
      <c r="Y23" s="31">
        <f t="shared" si="181"/>
        <v>3.7583421145065014E-2</v>
      </c>
      <c r="Z23" s="32">
        <f t="shared" si="181"/>
        <v>4.8597359735973615E-2</v>
      </c>
      <c r="AA23" s="31">
        <f t="shared" ref="AA23:AE23" si="182">+AA22/AA5</f>
        <v>4.9457452884066194E-2</v>
      </c>
      <c r="AB23" s="31">
        <f t="shared" si="181"/>
        <v>6.6297705522887065E-2</v>
      </c>
      <c r="AC23" s="31">
        <f t="shared" si="181"/>
        <v>5.829180669834276E-2</v>
      </c>
      <c r="AD23" s="31">
        <f>+AD22/AD5</f>
        <v>6.3550939663699194E-2</v>
      </c>
      <c r="AE23" s="32">
        <f t="shared" si="182"/>
        <v>5.9305901303265587E-2</v>
      </c>
      <c r="AF23" s="31">
        <f t="shared" ref="AF23:AH23" si="183">+AF22/AF5</f>
        <v>5.7272304832713727E-2</v>
      </c>
      <c r="AG23" s="31">
        <f t="shared" si="183"/>
        <v>6.7075943610732228E-2</v>
      </c>
      <c r="AH23" s="31">
        <f t="shared" si="183"/>
        <v>6.5063810391978144E-2</v>
      </c>
      <c r="AI23" s="31">
        <f>+AI22/AI5</f>
        <v>6.4129422718808213E-2</v>
      </c>
      <c r="AJ23" s="32">
        <f t="shared" ref="AJ23:AN23" si="184">+AJ22/AJ5</f>
        <v>6.3413090992752816E-2</v>
      </c>
      <c r="AK23" s="31">
        <f t="shared" si="184"/>
        <v>6.3278126784694425E-2</v>
      </c>
      <c r="AL23" s="31">
        <f t="shared" si="184"/>
        <v>7.1959000104591622E-2</v>
      </c>
      <c r="AM23" s="31">
        <f t="shared" si="184"/>
        <v>7.2287948666533E-2</v>
      </c>
      <c r="AN23" s="31">
        <f t="shared" si="184"/>
        <v>6.1051085702297246E-2</v>
      </c>
      <c r="AO23" s="32">
        <f t="shared" ref="AO23:AS23" si="185">+AO22/AO5</f>
        <v>6.7287100441530412E-2</v>
      </c>
      <c r="AP23" s="31">
        <f t="shared" si="185"/>
        <v>7.5243220865245347E-2</v>
      </c>
      <c r="AQ23" s="31">
        <f t="shared" si="185"/>
        <v>7.3197633610748908E-2</v>
      </c>
      <c r="AR23" s="31">
        <f t="shared" si="185"/>
        <v>8.5918144881577535E-2</v>
      </c>
      <c r="AS23" s="31">
        <f t="shared" si="185"/>
        <v>7.918695744230364E-2</v>
      </c>
      <c r="AT23" s="82">
        <f t="shared" ref="AT23:AX23" si="186">+AT22/AT5</f>
        <v>7.8423363627080439E-2</v>
      </c>
      <c r="AU23" s="83">
        <f t="shared" si="186"/>
        <v>9.5161977834612194E-2</v>
      </c>
      <c r="AV23" s="83">
        <f t="shared" si="186"/>
        <v>0.10063614558348087</v>
      </c>
      <c r="AW23" s="83">
        <f t="shared" si="186"/>
        <v>9.5373590473179407E-2</v>
      </c>
      <c r="AX23" s="83">
        <f t="shared" si="186"/>
        <v>8.841429677990513E-2</v>
      </c>
      <c r="AY23" s="82">
        <f t="shared" ref="AY23:BC23" si="187">+AY22/AY5</f>
        <v>9.4989199711992239E-2</v>
      </c>
      <c r="AZ23" s="84">
        <f t="shared" si="187"/>
        <v>8.9555347287305964E-2</v>
      </c>
      <c r="BA23" s="85">
        <f t="shared" si="187"/>
        <v>8.9558273526735926E-2</v>
      </c>
      <c r="BB23" s="85">
        <f t="shared" si="187"/>
        <v>8.6263246508863828E-2</v>
      </c>
      <c r="BC23" s="85">
        <f t="shared" si="187"/>
        <v>8.9791772473336723E-2</v>
      </c>
      <c r="BD23" s="82">
        <f>+BD22/BD5</f>
        <v>8.8772250114103016E-2</v>
      </c>
      <c r="BE23" s="84">
        <f t="shared" ref="BE23" si="188">+BE22/BE5</f>
        <v>7.9996111975116593E-2</v>
      </c>
      <c r="BF23" s="85">
        <f t="shared" ref="BF23:BG23" si="189">+BF22/BF5</f>
        <v>8.5582112567463522E-2</v>
      </c>
      <c r="BG23" s="85">
        <f t="shared" si="189"/>
        <v>8.4379294548785941E-2</v>
      </c>
      <c r="BH23" s="85">
        <f t="shared" ref="BH23" si="190">+BH22/BH5</f>
        <v>8.5363523454667092E-2</v>
      </c>
      <c r="BI23" s="82">
        <f>+BI22/BI5</f>
        <v>8.3873989928563E-2</v>
      </c>
      <c r="BJ23" s="85">
        <f t="shared" ref="BJ23:BK23" si="191">+BJ22/BJ5</f>
        <v>5.8176781231062152E-2</v>
      </c>
      <c r="BK23" s="85">
        <f t="shared" si="191"/>
        <v>6.5034619188921894E-2</v>
      </c>
      <c r="BL23" s="85">
        <f t="shared" ref="BL23:BM23" si="192">+BL22/BL5</f>
        <v>7.8310336480271012E-2</v>
      </c>
      <c r="BM23" s="85">
        <f t="shared" si="192"/>
        <v>7.0687396279151146E-2</v>
      </c>
      <c r="BN23" s="82">
        <f>+BN22/BN5</f>
        <v>6.8201998947922129E-2</v>
      </c>
      <c r="BO23" s="85">
        <f t="shared" ref="BO23:BR23" si="193">+BO22/BO5</f>
        <v>5.0789581918526325E-2</v>
      </c>
      <c r="BP23" s="85">
        <f t="shared" si="193"/>
        <v>2.5204117855875015E-2</v>
      </c>
      <c r="BQ23" s="85">
        <f t="shared" si="193"/>
        <v>9.228966545213646E-2</v>
      </c>
      <c r="BR23" s="85">
        <f t="shared" si="193"/>
        <v>9.1370558375634597E-2</v>
      </c>
      <c r="BS23" s="82">
        <f t="shared" ref="BS23:BX23" si="194">+BS22/BS5</f>
        <v>6.8653260719734432E-2</v>
      </c>
      <c r="BT23" s="85">
        <f t="shared" si="194"/>
        <v>7.6027456772960383E-2</v>
      </c>
      <c r="BU23" s="85">
        <f t="shared" si="194"/>
        <v>7.1676118462507862E-2</v>
      </c>
      <c r="BV23" s="85">
        <f t="shared" si="194"/>
        <v>7.3681018799272385E-2</v>
      </c>
      <c r="BW23" s="85">
        <f t="shared" si="194"/>
        <v>7.915072398529531E-2</v>
      </c>
      <c r="BX23" s="82">
        <f t="shared" si="194"/>
        <v>7.514883885975647E-2</v>
      </c>
      <c r="BY23" s="85">
        <f t="shared" ref="BY23:CC23" si="195">+BY22/BY5</f>
        <v>6.8365726385842818E-2</v>
      </c>
      <c r="BZ23" s="85">
        <f t="shared" si="195"/>
        <v>7.1353620146904578E-2</v>
      </c>
      <c r="CA23" s="85">
        <f t="shared" si="195"/>
        <v>5.5160692212608158E-2</v>
      </c>
      <c r="CB23" s="85">
        <f t="shared" si="195"/>
        <v>4.4154540893125871E-2</v>
      </c>
      <c r="CC23" s="82">
        <f t="shared" si="195"/>
        <v>6.0193910661200251E-2</v>
      </c>
      <c r="CD23" s="85">
        <f t="shared" ref="CD23:CL23" si="196">+CD22/CD5</f>
        <v>4.408371786420559E-2</v>
      </c>
      <c r="CE23" s="85">
        <f t="shared" si="196"/>
        <v>4.2171634457910265E-2</v>
      </c>
      <c r="CF23" s="85">
        <f t="shared" si="196"/>
        <v>4.1092394078611594E-2</v>
      </c>
      <c r="CG23" s="85">
        <f t="shared" si="196"/>
        <v>3.2015065913370923E-2</v>
      </c>
      <c r="CH23" s="82">
        <f t="shared" si="196"/>
        <v>3.9997460478699801E-2</v>
      </c>
      <c r="CI23" s="85">
        <f t="shared" si="196"/>
        <v>2.926429027258641E-2</v>
      </c>
      <c r="CJ23" s="85">
        <f t="shared" si="196"/>
        <v>3.5087719298245362E-2</v>
      </c>
      <c r="CK23" s="85">
        <f t="shared" si="196"/>
        <v>3.966597077244257E-2</v>
      </c>
      <c r="CL23" s="85">
        <f t="shared" si="196"/>
        <v>2.7262400605831287E-2</v>
      </c>
      <c r="CM23" s="82">
        <f t="shared" ref="CM23:CQ23" si="197">+CM22/CM5</f>
        <v>3.2895337165799801E-2</v>
      </c>
      <c r="CN23" s="85">
        <f t="shared" si="197"/>
        <v>3.2286469034341077E-2</v>
      </c>
      <c r="CO23" s="85">
        <f t="shared" si="197"/>
        <v>3.9035916824196625E-2</v>
      </c>
      <c r="CP23" s="85">
        <f t="shared" si="197"/>
        <v>3.8691624855268343E-2</v>
      </c>
      <c r="CQ23" s="85">
        <f t="shared" si="197"/>
        <v>3.3560622203281543E-2</v>
      </c>
      <c r="CR23" s="82">
        <f t="shared" ref="CR23" si="198">+CR22/CR5</f>
        <v>3.5979383985598357E-2</v>
      </c>
    </row>
    <row r="24" spans="1:96" ht="6" customHeight="1" x14ac:dyDescent="0.2">
      <c r="F24" s="9"/>
      <c r="K24" s="9"/>
      <c r="P24" s="9"/>
      <c r="U24" s="9"/>
      <c r="Z24" s="9"/>
      <c r="AE24" s="9"/>
      <c r="AJ24" s="9"/>
      <c r="AO24" s="9"/>
      <c r="AT24" s="66"/>
      <c r="AU24" s="67"/>
      <c r="AV24" s="67"/>
      <c r="AW24" s="67"/>
      <c r="AX24" s="67"/>
      <c r="AY24" s="66"/>
      <c r="AZ24" s="67"/>
      <c r="BA24" s="67"/>
      <c r="BB24" s="67"/>
      <c r="BC24" s="67"/>
      <c r="BD24" s="66"/>
      <c r="BE24" s="67"/>
      <c r="BF24" s="67"/>
      <c r="BG24" s="67"/>
      <c r="BH24" s="67"/>
      <c r="BI24" s="66"/>
      <c r="BJ24" s="67"/>
      <c r="BK24" s="67"/>
      <c r="BL24" s="67"/>
      <c r="BM24" s="67"/>
      <c r="BN24" s="66"/>
      <c r="BO24" s="67"/>
      <c r="BP24" s="67"/>
      <c r="BQ24" s="67"/>
      <c r="BR24" s="67"/>
      <c r="BS24" s="66"/>
      <c r="BT24" s="67"/>
      <c r="BU24" s="67"/>
      <c r="BV24" s="67"/>
      <c r="BW24" s="67"/>
      <c r="BX24" s="66"/>
      <c r="BY24" s="67"/>
      <c r="BZ24" s="67"/>
      <c r="CA24" s="67"/>
      <c r="CB24" s="67"/>
      <c r="CC24" s="66"/>
      <c r="CD24" s="67"/>
      <c r="CE24" s="67"/>
      <c r="CG24" s="67"/>
      <c r="CH24" s="66"/>
      <c r="CI24" s="67"/>
      <c r="CJ24" s="67"/>
      <c r="CL24" s="67"/>
      <c r="CM24" s="66"/>
      <c r="CN24" s="67"/>
      <c r="CO24" s="67"/>
      <c r="CQ24" s="67"/>
      <c r="CR24" s="66"/>
    </row>
    <row r="25" spans="1:96" x14ac:dyDescent="0.2">
      <c r="A25" s="1" t="s">
        <v>105</v>
      </c>
      <c r="B25" s="17">
        <v>28.4</v>
      </c>
      <c r="C25" s="17">
        <v>30.3</v>
      </c>
      <c r="D25" s="17">
        <v>30.1</v>
      </c>
      <c r="E25" s="17">
        <v>31.4</v>
      </c>
      <c r="F25" s="20">
        <f>SUM(B25:E25)</f>
        <v>120.20000000000002</v>
      </c>
      <c r="G25" s="17">
        <v>29</v>
      </c>
      <c r="H25" s="17">
        <v>29.9</v>
      </c>
      <c r="I25" s="17">
        <v>28.2</v>
      </c>
      <c r="J25" s="17">
        <v>28.8</v>
      </c>
      <c r="K25" s="20">
        <f>SUM(G25:J25)</f>
        <v>115.89999999999999</v>
      </c>
      <c r="L25" s="17">
        <v>27.2</v>
      </c>
      <c r="M25" s="17">
        <v>27.8</v>
      </c>
      <c r="N25" s="17">
        <v>27</v>
      </c>
      <c r="O25" s="17">
        <v>27.6</v>
      </c>
      <c r="P25" s="20">
        <f>SUM(L25:O25)</f>
        <v>109.6</v>
      </c>
      <c r="Q25" s="17">
        <v>26.9</v>
      </c>
      <c r="R25" s="17">
        <v>24.4</v>
      </c>
      <c r="S25" s="17">
        <v>25.1</v>
      </c>
      <c r="T25" s="17">
        <v>26.6</v>
      </c>
      <c r="U25" s="20">
        <f>SUM(Q25:T25)</f>
        <v>103</v>
      </c>
      <c r="V25" s="17">
        <v>25.3</v>
      </c>
      <c r="W25" s="17">
        <v>25.3</v>
      </c>
      <c r="X25" s="17">
        <v>23.2</v>
      </c>
      <c r="Y25" s="17">
        <v>24.3</v>
      </c>
      <c r="Z25" s="20">
        <f>SUM(V25:Y25)</f>
        <v>98.1</v>
      </c>
      <c r="AA25" s="17">
        <v>21.8</v>
      </c>
      <c r="AB25" s="17">
        <v>21.3</v>
      </c>
      <c r="AC25" s="17">
        <v>22.5</v>
      </c>
      <c r="AD25" s="17">
        <v>20.7</v>
      </c>
      <c r="AE25" s="49">
        <f>SUM(AA25:AD25)</f>
        <v>86.3</v>
      </c>
      <c r="AF25" s="17">
        <v>23.3</v>
      </c>
      <c r="AG25" s="17">
        <v>22.7</v>
      </c>
      <c r="AH25" s="17">
        <v>22</v>
      </c>
      <c r="AI25" s="17">
        <v>23.1</v>
      </c>
      <c r="AJ25" s="49">
        <f>SUM(AF25:AI25)</f>
        <v>91.1</v>
      </c>
      <c r="AK25" s="17">
        <v>24</v>
      </c>
      <c r="AL25" s="17">
        <v>25</v>
      </c>
      <c r="AM25" s="17">
        <v>24</v>
      </c>
      <c r="AN25" s="17">
        <v>25</v>
      </c>
      <c r="AO25" s="20">
        <f>SUM(AK25:AN25)</f>
        <v>98</v>
      </c>
      <c r="AP25" s="17">
        <v>22.5</v>
      </c>
      <c r="AQ25" s="17">
        <v>19.2</v>
      </c>
      <c r="AR25" s="17">
        <v>21</v>
      </c>
      <c r="AS25" s="17">
        <v>20.8</v>
      </c>
      <c r="AT25" s="44">
        <f>SUM(AP25:AS25)</f>
        <v>83.5</v>
      </c>
      <c r="AU25" s="70">
        <v>21.1</v>
      </c>
      <c r="AV25" s="70">
        <v>21.9</v>
      </c>
      <c r="AW25" s="70">
        <v>22.1</v>
      </c>
      <c r="AX25" s="70">
        <v>21.7</v>
      </c>
      <c r="AY25" s="44">
        <f>SUM(AU25:AX25)</f>
        <v>86.8</v>
      </c>
      <c r="AZ25" s="70">
        <v>22.8</v>
      </c>
      <c r="BA25" s="70">
        <v>24.9</v>
      </c>
      <c r="BB25" s="70">
        <v>23.5</v>
      </c>
      <c r="BC25" s="70">
        <v>24.1</v>
      </c>
      <c r="BD25" s="44">
        <f>SUM(AZ25:BC25)</f>
        <v>95.300000000000011</v>
      </c>
      <c r="BE25" s="70">
        <v>25.5</v>
      </c>
      <c r="BF25" s="70">
        <v>26</v>
      </c>
      <c r="BG25" s="70">
        <v>25.9</v>
      </c>
      <c r="BH25" s="70">
        <v>26.9</v>
      </c>
      <c r="BI25" s="44">
        <f>SUM(BE25:BH25)</f>
        <v>104.30000000000001</v>
      </c>
      <c r="BJ25" s="70">
        <v>29.1</v>
      </c>
      <c r="BK25" s="70">
        <v>29.3</v>
      </c>
      <c r="BL25" s="70">
        <v>29.5</v>
      </c>
      <c r="BM25" s="70">
        <v>29.6</v>
      </c>
      <c r="BN25" s="44">
        <f>SUM(BJ25:BM25)</f>
        <v>117.5</v>
      </c>
      <c r="BO25" s="70">
        <v>30.1</v>
      </c>
      <c r="BP25" s="70">
        <v>29.1</v>
      </c>
      <c r="BQ25" s="70">
        <v>29.6</v>
      </c>
      <c r="BR25" s="70">
        <v>30.6</v>
      </c>
      <c r="BS25" s="44">
        <f>SUM(BO25:BR25)</f>
        <v>119.4</v>
      </c>
      <c r="BT25" s="70">
        <v>29.1</v>
      </c>
      <c r="BU25" s="70">
        <v>29.3</v>
      </c>
      <c r="BV25" s="70">
        <v>29</v>
      </c>
      <c r="BW25" s="70">
        <v>29.1</v>
      </c>
      <c r="BX25" s="44">
        <f>SUM(BT25:BW25)</f>
        <v>116.5</v>
      </c>
      <c r="BY25" s="70">
        <v>28.2</v>
      </c>
      <c r="BZ25" s="70">
        <v>27.8</v>
      </c>
      <c r="CA25" s="70">
        <v>26.9</v>
      </c>
      <c r="CB25" s="70">
        <v>27.3</v>
      </c>
      <c r="CC25" s="44">
        <f>SUM(BY25:CB25)</f>
        <v>110.2</v>
      </c>
      <c r="CD25" s="70">
        <v>27.4</v>
      </c>
      <c r="CE25" s="70">
        <v>26.8</v>
      </c>
      <c r="CF25" s="70">
        <v>27</v>
      </c>
      <c r="CG25" s="70">
        <v>27.7</v>
      </c>
      <c r="CH25" s="44">
        <f>SUM(CD25:CG25)</f>
        <v>108.9</v>
      </c>
      <c r="CI25" s="70">
        <v>27.9</v>
      </c>
      <c r="CJ25" s="70">
        <v>28</v>
      </c>
      <c r="CK25" s="70">
        <v>27.9</v>
      </c>
      <c r="CL25" s="70">
        <v>28.6</v>
      </c>
      <c r="CM25" s="44">
        <f>SUM(CI25:CL25)</f>
        <v>112.4</v>
      </c>
      <c r="CN25" s="70">
        <v>26.2</v>
      </c>
      <c r="CO25" s="70">
        <v>25.8</v>
      </c>
      <c r="CP25" s="70">
        <v>25.2</v>
      </c>
      <c r="CQ25" s="70">
        <v>27.5</v>
      </c>
      <c r="CR25" s="44">
        <f>SUM(CN25:CQ25)</f>
        <v>104.7</v>
      </c>
    </row>
    <row r="26" spans="1:96" x14ac:dyDescent="0.2">
      <c r="A26" s="1" t="s">
        <v>106</v>
      </c>
      <c r="B26" s="17">
        <f>B12</f>
        <v>4.9000000000000004</v>
      </c>
      <c r="C26" s="17">
        <f>C12</f>
        <v>6.4</v>
      </c>
      <c r="D26" s="17">
        <f>D12</f>
        <v>5.3</v>
      </c>
      <c r="E26" s="17">
        <f>E12</f>
        <v>6.7</v>
      </c>
      <c r="F26" s="20">
        <f>SUM(B26:E26)</f>
        <v>23.3</v>
      </c>
      <c r="G26" s="17">
        <f>G12</f>
        <v>6</v>
      </c>
      <c r="H26" s="17">
        <f>H12</f>
        <v>6.3</v>
      </c>
      <c r="I26" s="17">
        <f>I12</f>
        <v>6.2</v>
      </c>
      <c r="J26" s="17">
        <f>J12</f>
        <v>6</v>
      </c>
      <c r="K26" s="20">
        <f>SUM(G26:J26)</f>
        <v>24.5</v>
      </c>
      <c r="L26" s="17">
        <f>L12</f>
        <v>4.3</v>
      </c>
      <c r="M26" s="17">
        <f>M12</f>
        <v>5.5</v>
      </c>
      <c r="N26" s="17">
        <f>N12</f>
        <v>5.5</v>
      </c>
      <c r="O26" s="17">
        <f>O12</f>
        <v>5.4</v>
      </c>
      <c r="P26" s="20">
        <f>SUM(L26:O26)</f>
        <v>20.700000000000003</v>
      </c>
      <c r="Q26" s="17">
        <f>Q12</f>
        <v>5</v>
      </c>
      <c r="R26" s="17">
        <f>R12</f>
        <v>4.9000000000000004</v>
      </c>
      <c r="S26" s="17">
        <f>S12</f>
        <v>4.9000000000000004</v>
      </c>
      <c r="T26" s="17">
        <f>T12</f>
        <v>5</v>
      </c>
      <c r="U26" s="20">
        <f>SUM(Q26:T26)</f>
        <v>19.8</v>
      </c>
      <c r="V26" s="17">
        <f>V12</f>
        <v>4.8</v>
      </c>
      <c r="W26" s="17">
        <f>W12</f>
        <v>4.9000000000000004</v>
      </c>
      <c r="X26" s="17">
        <v>4.7</v>
      </c>
      <c r="Y26" s="17">
        <f>Y12</f>
        <v>4.4000000000000004</v>
      </c>
      <c r="Z26" s="20">
        <f>SUM(V26:Y26)</f>
        <v>18.799999999999997</v>
      </c>
      <c r="AA26" s="17">
        <v>6.1</v>
      </c>
      <c r="AB26" s="17">
        <v>6.2</v>
      </c>
      <c r="AC26" s="17">
        <v>6.4</v>
      </c>
      <c r="AD26" s="17">
        <v>6.4</v>
      </c>
      <c r="AE26" s="20">
        <f>SUM(AA26:AD26)</f>
        <v>25.1</v>
      </c>
      <c r="AF26" s="17">
        <v>5.6</v>
      </c>
      <c r="AG26" s="17">
        <v>5.2</v>
      </c>
      <c r="AH26" s="17">
        <v>5.3</v>
      </c>
      <c r="AI26" s="17">
        <v>9</v>
      </c>
      <c r="AJ26" s="20">
        <f>SUM(AF26:AI26)</f>
        <v>25.1</v>
      </c>
      <c r="AK26" s="17">
        <v>4.8</v>
      </c>
      <c r="AL26" s="17">
        <v>4.8</v>
      </c>
      <c r="AM26" s="17">
        <v>4.9000000000000004</v>
      </c>
      <c r="AN26" s="17">
        <v>5.2</v>
      </c>
      <c r="AO26" s="20">
        <f>SUM(AK26:AN26)</f>
        <v>19.7</v>
      </c>
      <c r="AP26" s="17">
        <v>7.1</v>
      </c>
      <c r="AQ26" s="17">
        <v>7.7</v>
      </c>
      <c r="AR26" s="17">
        <v>7.5</v>
      </c>
      <c r="AS26" s="17">
        <v>7.4</v>
      </c>
      <c r="AT26" s="44">
        <f>SUM(AP26:AS26)</f>
        <v>29.700000000000003</v>
      </c>
      <c r="AU26" s="70">
        <v>7.2</v>
      </c>
      <c r="AV26" s="70">
        <v>7</v>
      </c>
      <c r="AW26" s="70">
        <v>7.1</v>
      </c>
      <c r="AX26" s="70">
        <v>7.3</v>
      </c>
      <c r="AY26" s="44">
        <f>SUM(AU26:AX26)</f>
        <v>28.599999999999998</v>
      </c>
      <c r="AZ26" s="70">
        <v>7.5</v>
      </c>
      <c r="BA26" s="70">
        <v>7</v>
      </c>
      <c r="BB26" s="70">
        <v>8.6999999999999993</v>
      </c>
      <c r="BC26" s="70">
        <v>7.4</v>
      </c>
      <c r="BD26" s="44">
        <f>SUM(AZ26:BC26)</f>
        <v>30.6</v>
      </c>
      <c r="BE26" s="70">
        <v>7.9</v>
      </c>
      <c r="BF26" s="70">
        <v>7.8</v>
      </c>
      <c r="BG26" s="70">
        <v>7.9</v>
      </c>
      <c r="BH26" s="70">
        <v>8.1999999999999993</v>
      </c>
      <c r="BI26" s="44">
        <f>SUM(BE26:BH26)</f>
        <v>31.8</v>
      </c>
      <c r="BJ26" s="70">
        <v>17.2</v>
      </c>
      <c r="BK26" s="70">
        <v>20.7</v>
      </c>
      <c r="BL26" s="70">
        <v>18.899999999999999</v>
      </c>
      <c r="BM26" s="70">
        <v>17.600000000000001</v>
      </c>
      <c r="BN26" s="44">
        <f>SUM(BJ26:BM26)</f>
        <v>74.400000000000006</v>
      </c>
      <c r="BO26" s="70">
        <v>17.399999999999999</v>
      </c>
      <c r="BP26" s="70">
        <v>17.399999999999999</v>
      </c>
      <c r="BQ26" s="70">
        <v>17.399999999999999</v>
      </c>
      <c r="BR26" s="70">
        <v>17.8</v>
      </c>
      <c r="BS26" s="44">
        <f>SUM(BO26:BR26)</f>
        <v>70</v>
      </c>
      <c r="BT26" s="70">
        <v>17</v>
      </c>
      <c r="BU26" s="70">
        <f>18.8</f>
        <v>18.8</v>
      </c>
      <c r="BV26" s="70">
        <v>17.600000000000001</v>
      </c>
      <c r="BW26" s="70">
        <v>17.399999999999999</v>
      </c>
      <c r="BX26" s="44">
        <f>SUM(BT26:BW26)</f>
        <v>70.8</v>
      </c>
      <c r="BY26" s="70">
        <v>17.5</v>
      </c>
      <c r="BZ26" s="70">
        <v>16.7</v>
      </c>
      <c r="CA26" s="70">
        <v>17.2</v>
      </c>
      <c r="CB26" s="70">
        <v>18.2</v>
      </c>
      <c r="CC26" s="44">
        <f>SUM(BY26:CB26)</f>
        <v>69.600000000000009</v>
      </c>
      <c r="CD26" s="70">
        <v>18</v>
      </c>
      <c r="CE26" s="108">
        <v>17.899999999999999</v>
      </c>
      <c r="CF26" s="70">
        <v>18</v>
      </c>
      <c r="CG26" s="70">
        <v>17.100000000000001</v>
      </c>
      <c r="CH26" s="44">
        <f>SUM(CD26:CG26)</f>
        <v>71</v>
      </c>
      <c r="CI26" s="70">
        <v>5</v>
      </c>
      <c r="CJ26" s="70">
        <v>4.5999999999999996</v>
      </c>
      <c r="CK26" s="70">
        <v>8.5</v>
      </c>
      <c r="CL26" s="70">
        <v>5.5</v>
      </c>
      <c r="CM26" s="44">
        <f>SUM(CI26:CL26)</f>
        <v>23.6</v>
      </c>
      <c r="CN26" s="70">
        <v>5.4</v>
      </c>
      <c r="CO26" s="70">
        <v>3.9</v>
      </c>
      <c r="CP26" s="70">
        <v>4.2</v>
      </c>
      <c r="CQ26" s="70">
        <v>4.2</v>
      </c>
      <c r="CR26" s="44">
        <f>SUM(CN26:CQ26)</f>
        <v>17.7</v>
      </c>
    </row>
    <row r="27" spans="1:96" ht="12.75" thickBot="1" x14ac:dyDescent="0.25">
      <c r="A27" s="6" t="s">
        <v>107</v>
      </c>
      <c r="B27" s="19">
        <f t="shared" ref="B27:K27" si="199">+B14+B25+B26</f>
        <v>128.99999999999989</v>
      </c>
      <c r="C27" s="19">
        <f t="shared" si="199"/>
        <v>129.1</v>
      </c>
      <c r="D27" s="19">
        <f t="shared" si="199"/>
        <v>144.90000000000003</v>
      </c>
      <c r="E27" s="19">
        <f t="shared" si="199"/>
        <v>109.00000000000004</v>
      </c>
      <c r="F27" s="23">
        <f t="shared" si="199"/>
        <v>512.00000000000011</v>
      </c>
      <c r="G27" s="19">
        <f t="shared" si="199"/>
        <v>104.2999999999999</v>
      </c>
      <c r="H27" s="19">
        <f t="shared" si="199"/>
        <v>120.59999999999987</v>
      </c>
      <c r="I27" s="19">
        <f t="shared" si="199"/>
        <v>134.9</v>
      </c>
      <c r="J27" s="19">
        <f t="shared" si="199"/>
        <v>51.100000000000065</v>
      </c>
      <c r="K27" s="23">
        <f t="shared" si="199"/>
        <v>410.89999999999958</v>
      </c>
      <c r="L27" s="19">
        <f t="shared" ref="L27:U27" si="200">+L14+L25+L26</f>
        <v>57.899999999999991</v>
      </c>
      <c r="M27" s="19">
        <f t="shared" si="200"/>
        <v>84.699999999999932</v>
      </c>
      <c r="N27" s="19">
        <f t="shared" si="200"/>
        <v>127.49999999999996</v>
      </c>
      <c r="O27" s="19">
        <f t="shared" si="200"/>
        <v>109.60000000000005</v>
      </c>
      <c r="P27" s="23">
        <f t="shared" si="200"/>
        <v>379.70000000000027</v>
      </c>
      <c r="Q27" s="19">
        <f t="shared" si="200"/>
        <v>109.1</v>
      </c>
      <c r="R27" s="19">
        <f t="shared" si="200"/>
        <v>114.39999999999992</v>
      </c>
      <c r="S27" s="19">
        <f t="shared" si="200"/>
        <v>105.60000000000005</v>
      </c>
      <c r="T27" s="19">
        <f t="shared" si="200"/>
        <v>81.700000000000017</v>
      </c>
      <c r="U27" s="23">
        <f t="shared" si="200"/>
        <v>410.80000000000013</v>
      </c>
      <c r="V27" s="19">
        <f t="shared" ref="V27:Z27" si="201">+V14+V25+V26</f>
        <v>104.3</v>
      </c>
      <c r="W27" s="19">
        <f t="shared" si="201"/>
        <v>109.3000000000001</v>
      </c>
      <c r="X27" s="19">
        <f t="shared" si="201"/>
        <v>99.499999999999972</v>
      </c>
      <c r="Y27" s="19">
        <f t="shared" si="201"/>
        <v>78.200000000000031</v>
      </c>
      <c r="Z27" s="23">
        <f t="shared" si="201"/>
        <v>391.30000000000013</v>
      </c>
      <c r="AA27" s="19">
        <f t="shared" ref="AA27:AE27" si="202">+AA14+AA25+AA26</f>
        <v>99.699999999999946</v>
      </c>
      <c r="AB27" s="19">
        <f t="shared" si="202"/>
        <v>113.39999999999995</v>
      </c>
      <c r="AC27" s="19">
        <f t="shared" si="202"/>
        <v>116.49999999999997</v>
      </c>
      <c r="AD27" s="19">
        <f t="shared" si="202"/>
        <v>106.19999999999992</v>
      </c>
      <c r="AE27" s="23">
        <f t="shared" si="202"/>
        <v>435.80000000000035</v>
      </c>
      <c r="AF27" s="19">
        <f t="shared" ref="AF27:AJ27" si="203">+AF14+AF25+AF26</f>
        <v>107.39999999999996</v>
      </c>
      <c r="AG27" s="19">
        <f t="shared" si="203"/>
        <v>119.40000000000008</v>
      </c>
      <c r="AH27" s="19">
        <f t="shared" si="203"/>
        <v>118.00000000000001</v>
      </c>
      <c r="AI27" s="19">
        <f t="shared" si="203"/>
        <v>104.10000000000002</v>
      </c>
      <c r="AJ27" s="23">
        <f t="shared" si="203"/>
        <v>448.90000000000009</v>
      </c>
      <c r="AK27" s="19">
        <f t="shared" ref="AK27:AO27" si="204">+AK14+AK25+AK26</f>
        <v>114.59999999999997</v>
      </c>
      <c r="AL27" s="19">
        <f t="shared" si="204"/>
        <v>132.00000000000006</v>
      </c>
      <c r="AM27" s="19">
        <f t="shared" si="204"/>
        <v>135.80000000000001</v>
      </c>
      <c r="AN27" s="19">
        <f t="shared" si="204"/>
        <v>120.29999999999995</v>
      </c>
      <c r="AO27" s="23">
        <f t="shared" si="204"/>
        <v>502.7000000000005</v>
      </c>
      <c r="AP27" s="19">
        <f t="shared" ref="AP27:AT27" si="205">+AP14+AP25+AP26</f>
        <v>141.80000000000004</v>
      </c>
      <c r="AQ27" s="19">
        <f t="shared" si="205"/>
        <v>141.39999999999986</v>
      </c>
      <c r="AR27" s="19">
        <f t="shared" si="205"/>
        <v>155.99999999999989</v>
      </c>
      <c r="AS27" s="19">
        <f t="shared" si="205"/>
        <v>133.20000000000002</v>
      </c>
      <c r="AT27" s="97">
        <f t="shared" si="205"/>
        <v>572.39999999999964</v>
      </c>
      <c r="AU27" s="98">
        <f t="shared" ref="AU27:BC27" si="206">+AU14+AU25+AU26</f>
        <v>155.10000000000008</v>
      </c>
      <c r="AV27" s="103">
        <f t="shared" si="206"/>
        <v>168.4999999999998</v>
      </c>
      <c r="AW27" s="98">
        <f t="shared" si="206"/>
        <v>154.69999999999993</v>
      </c>
      <c r="AX27" s="98">
        <f t="shared" si="206"/>
        <v>141.50000000000028</v>
      </c>
      <c r="AY27" s="97">
        <f t="shared" si="206"/>
        <v>619.79999999999961</v>
      </c>
      <c r="AZ27" s="99">
        <f t="shared" si="206"/>
        <v>145.99999999999991</v>
      </c>
      <c r="BA27" s="98">
        <f t="shared" si="206"/>
        <v>155.89999999999986</v>
      </c>
      <c r="BB27" s="98">
        <f t="shared" si="206"/>
        <v>155.9999999999998</v>
      </c>
      <c r="BC27" s="98">
        <f t="shared" si="206"/>
        <v>149.9</v>
      </c>
      <c r="BD27" s="97">
        <f>+BD14+BD25+BD26</f>
        <v>607.79999999999961</v>
      </c>
      <c r="BE27" s="99">
        <f t="shared" ref="BE27" si="207">+BE14+BE25+BE26</f>
        <v>146.69999999999996</v>
      </c>
      <c r="BF27" s="98">
        <f t="shared" ref="BF27:BG27" si="208">+BF14+BF25+BF26</f>
        <v>167.35000000000016</v>
      </c>
      <c r="BG27" s="98">
        <f t="shared" si="208"/>
        <v>163.39999999999986</v>
      </c>
      <c r="BH27" s="98">
        <f t="shared" ref="BH27" si="209">+BH14+BH25+BH26</f>
        <v>161.30000000000004</v>
      </c>
      <c r="BI27" s="97">
        <f>+BI14+BI25+BI26</f>
        <v>638.79999999999973</v>
      </c>
      <c r="BJ27" s="98">
        <f t="shared" ref="BJ27:BM27" si="210">+BJ14+BJ25+BJ26</f>
        <v>152.19999999999987</v>
      </c>
      <c r="BK27" s="103">
        <f t="shared" si="210"/>
        <v>176.20000000000005</v>
      </c>
      <c r="BL27" s="103">
        <f>+BL14+BL25+BL26</f>
        <v>188.54999999999987</v>
      </c>
      <c r="BM27" s="103">
        <f t="shared" si="210"/>
        <v>172.93000000000015</v>
      </c>
      <c r="BN27" s="97">
        <f>+BN14+BN25+BN26</f>
        <v>689.93</v>
      </c>
      <c r="BO27" s="98">
        <f t="shared" ref="BO27:BR27" si="211">+BO14+BO25+BO26</f>
        <v>138.00000000000009</v>
      </c>
      <c r="BP27" s="103">
        <f t="shared" si="211"/>
        <v>96.799999999999983</v>
      </c>
      <c r="BQ27" s="103">
        <f t="shared" si="211"/>
        <v>202.94899999999998</v>
      </c>
      <c r="BR27" s="103">
        <f t="shared" si="211"/>
        <v>204.40000000000012</v>
      </c>
      <c r="BS27" s="97">
        <f>+BS14+BS25+BS26</f>
        <v>642.14900000000011</v>
      </c>
      <c r="BT27" s="81">
        <f>+BT14+BT25+BT26</f>
        <v>173.8000000000001</v>
      </c>
      <c r="BU27" s="81">
        <f>+BU14+BU25+BU26</f>
        <v>191.79999999999998</v>
      </c>
      <c r="BV27" s="81">
        <f>+BV14+BV25+BV26</f>
        <v>190.80000000000013</v>
      </c>
      <c r="BW27" s="81">
        <f>+BW14+BW25+BW26</f>
        <v>198.7000000000001</v>
      </c>
      <c r="BX27" s="80">
        <f>BX14+BX25+BX26</f>
        <v>755.10000000000059</v>
      </c>
      <c r="BY27" s="81">
        <f>+BY14+BY25+BY26</f>
        <v>183.29999999999995</v>
      </c>
      <c r="BZ27" s="81">
        <f>+BZ14+BZ25+BZ26</f>
        <v>187.50000000000009</v>
      </c>
      <c r="CA27" s="81">
        <f>+CA14+CA25+CA26</f>
        <v>157.29999999999998</v>
      </c>
      <c r="CB27" s="81">
        <f>+CB14+CB25+CB26</f>
        <v>136.6999999999999</v>
      </c>
      <c r="CC27" s="80">
        <f>CC14+CC25+CC26</f>
        <v>664.79999999999939</v>
      </c>
      <c r="CD27" s="81">
        <f>+CD14+CD25+CD26</f>
        <v>134.6999999999999</v>
      </c>
      <c r="CE27" s="81">
        <f>+CE14+CE25+CE26</f>
        <v>136.80000000000001</v>
      </c>
      <c r="CF27" s="81">
        <f>+CF14+CF25+CF26</f>
        <v>131.00000000000006</v>
      </c>
      <c r="CG27" s="81">
        <f>+CG14+CG25+CG26</f>
        <v>110.89999999999992</v>
      </c>
      <c r="CH27" s="80">
        <f>CH14+CH25+CH26</f>
        <v>513.4000000000002</v>
      </c>
      <c r="CI27" s="81">
        <f>+CI14+CI25+CI26</f>
        <v>96.600000000000037</v>
      </c>
      <c r="CJ27" s="81">
        <f>+CJ14+CJ25+CJ26</f>
        <v>103.7999999999997</v>
      </c>
      <c r="CK27" s="81">
        <f>+CK14+CK25+CK26</f>
        <v>112.49999999999997</v>
      </c>
      <c r="CL27" s="81">
        <f>+CL14+CL25+CL26</f>
        <v>89.700000000000173</v>
      </c>
      <c r="CM27" s="80">
        <f>CM14+CM25+CM26</f>
        <v>402.6</v>
      </c>
      <c r="CN27" s="81">
        <f>+CN14+CN25+CN26</f>
        <v>98.200000000000017</v>
      </c>
      <c r="CO27" s="81">
        <f>+CO14+CO25+CO26</f>
        <v>105.30000000000003</v>
      </c>
      <c r="CP27" s="81">
        <f>+CP14+CP25+CP26</f>
        <v>102.20000000000012</v>
      </c>
      <c r="CQ27" s="81">
        <f>+CQ14+CQ25+CQ26</f>
        <v>79.600000000000065</v>
      </c>
      <c r="CR27" s="80">
        <f>CR14+CR25+CR26</f>
        <v>385.29999999999984</v>
      </c>
    </row>
    <row r="28" spans="1:96" ht="6" customHeight="1" thickTop="1" x14ac:dyDescent="0.2">
      <c r="F28" s="9"/>
      <c r="K28" s="9"/>
      <c r="P28" s="14"/>
      <c r="U28" s="14"/>
      <c r="Z28" s="14"/>
      <c r="AE28" s="14"/>
      <c r="AJ28" s="14"/>
      <c r="AO28" s="14"/>
      <c r="AT28" s="14"/>
      <c r="AY28" s="14"/>
      <c r="BD28" s="14"/>
      <c r="BI28" s="14"/>
      <c r="BN28" s="14"/>
      <c r="BS28" s="14"/>
      <c r="BX28" s="14"/>
      <c r="CC28" s="14"/>
      <c r="CH28" s="14"/>
      <c r="CM28" s="14"/>
      <c r="CR28" s="14"/>
    </row>
    <row r="29" spans="1:96" x14ac:dyDescent="0.2">
      <c r="A29" s="6" t="s">
        <v>108</v>
      </c>
      <c r="F29" s="9"/>
      <c r="K29" s="9"/>
      <c r="P29" s="14"/>
      <c r="U29" s="14"/>
      <c r="Z29" s="14"/>
      <c r="AE29" s="14"/>
      <c r="AJ29" s="14"/>
      <c r="AO29" s="14"/>
      <c r="AT29" s="104"/>
      <c r="AY29" s="14"/>
      <c r="BD29" s="14"/>
      <c r="BI29" s="14"/>
      <c r="BN29" s="14"/>
      <c r="BS29" s="14"/>
      <c r="BX29" s="14"/>
      <c r="CC29" s="14"/>
      <c r="CH29" s="14"/>
      <c r="CM29" s="14"/>
      <c r="CR29" s="14"/>
    </row>
    <row r="30" spans="1:96" x14ac:dyDescent="0.2">
      <c r="A30" s="16" t="s">
        <v>109</v>
      </c>
      <c r="B30" s="24">
        <f t="shared" ref="B30:J30" si="212">B22/B32</f>
        <v>0.31739130434782542</v>
      </c>
      <c r="C30" s="24">
        <f t="shared" si="212"/>
        <v>0.30284775465498354</v>
      </c>
      <c r="D30" s="24">
        <f t="shared" si="212"/>
        <v>0.36696730552423906</v>
      </c>
      <c r="E30" s="24">
        <f t="shared" si="212"/>
        <v>0.2143671607753708</v>
      </c>
      <c r="F30" s="14">
        <f t="shared" si="212"/>
        <v>1.2035595105672976</v>
      </c>
      <c r="G30" s="24">
        <f t="shared" si="212"/>
        <v>0.21593533487297861</v>
      </c>
      <c r="H30" s="24">
        <f t="shared" si="212"/>
        <v>0.27696793002915376</v>
      </c>
      <c r="I30" s="24">
        <f t="shared" si="212"/>
        <v>0.34136062612883805</v>
      </c>
      <c r="J30" s="41">
        <f t="shared" si="212"/>
        <v>2.7812113720643163E-2</v>
      </c>
      <c r="K30" s="14">
        <f>+K22/K32</f>
        <v>0.8686087990487491</v>
      </c>
      <c r="L30" s="24">
        <f>L22/L32</f>
        <v>5.7620817843866128E-2</v>
      </c>
      <c r="M30" s="24">
        <f>M22/M32</f>
        <v>0.16254635352286731</v>
      </c>
      <c r="N30" s="24">
        <f>N22/N32</f>
        <v>0.34143302180685337</v>
      </c>
      <c r="O30" s="41">
        <f>O22/O32</f>
        <v>0.29833546734955219</v>
      </c>
      <c r="P30" s="14">
        <f>+P22/P32</f>
        <v>0.85625000000000173</v>
      </c>
      <c r="Q30" s="24">
        <f>Q22/Q32</f>
        <v>0.29617627997407647</v>
      </c>
      <c r="R30" s="24">
        <f>R22/R32</f>
        <v>0.33940182054616336</v>
      </c>
      <c r="S30" s="24">
        <f>S22/S32</f>
        <v>0.31393067364290422</v>
      </c>
      <c r="T30" s="41">
        <f>T22/T32</f>
        <v>0.20669291338582682</v>
      </c>
      <c r="U30" s="14">
        <f>+U22/U32</f>
        <v>1.1572080887149387</v>
      </c>
      <c r="V30" s="24">
        <f>V22/V32</f>
        <v>0.29840848806366049</v>
      </c>
      <c r="W30" s="24">
        <f>W22/W32</f>
        <v>0.3710990502035284</v>
      </c>
      <c r="X30" s="24">
        <f>X22/X32</f>
        <v>0.3094417643004822</v>
      </c>
      <c r="Y30" s="41">
        <f>Y22/Y32</f>
        <v>0.22183828610919165</v>
      </c>
      <c r="Z30" s="14">
        <f>+Z22/Z32</f>
        <v>1.202040816326531</v>
      </c>
      <c r="AA30" s="24">
        <f>AA22/AA32</f>
        <v>0.29841488628532015</v>
      </c>
      <c r="AB30" s="24">
        <f>AB22/AB32</f>
        <v>0.39546079779917431</v>
      </c>
      <c r="AC30" s="24">
        <f>AC22/AC32</f>
        <v>0.34428473648186153</v>
      </c>
      <c r="AD30" s="41">
        <f>AD22/AD32</f>
        <v>0.34918478260869507</v>
      </c>
      <c r="AE30" s="14">
        <f>+AE22/AE32</f>
        <v>1.3869863013698653</v>
      </c>
      <c r="AF30" s="24">
        <f>AF22/AF32</f>
        <v>0.33310810810810793</v>
      </c>
      <c r="AG30" s="24">
        <f>AG22/AG32</f>
        <v>0.39837947332883233</v>
      </c>
      <c r="AH30" s="24">
        <f>AH22/AH32</f>
        <v>0.38843537414966001</v>
      </c>
      <c r="AI30" s="41">
        <f>AI22/AI32</f>
        <v>0.37765592871830034</v>
      </c>
      <c r="AJ30" s="14">
        <f>+AJ22/AJ32</f>
        <v>1.4979619565217399</v>
      </c>
      <c r="AK30" s="24">
        <f>AK22/AK32</f>
        <v>0.38472222222222202</v>
      </c>
      <c r="AL30" s="24">
        <f>AL22/AL32</f>
        <v>0.48078266946191517</v>
      </c>
      <c r="AM30" s="24">
        <f>AM22/AM32</f>
        <v>0.50596491228070184</v>
      </c>
      <c r="AN30" s="24">
        <f>AN22/AN32</f>
        <v>0.40670859538784043</v>
      </c>
      <c r="AO30" s="14">
        <f>+AO22/AO32</f>
        <v>1.7772346368715122</v>
      </c>
      <c r="AP30" s="29">
        <v>0.5</v>
      </c>
      <c r="AQ30" s="29">
        <v>0.5</v>
      </c>
      <c r="AR30" s="29">
        <f>AR22/AR32</f>
        <v>0.6084210526315782</v>
      </c>
      <c r="AS30" s="29">
        <f>AS22/AS32</f>
        <v>0.52713178294573659</v>
      </c>
      <c r="AT30" s="58">
        <f>AT22/AT32-0.01</f>
        <v>2.1397550734779531</v>
      </c>
      <c r="AU30" s="24">
        <f>AU22/AU32</f>
        <v>0.63243626062323011</v>
      </c>
      <c r="AV30" s="24">
        <f>AV22/AV32</f>
        <v>0.68879371877230411</v>
      </c>
      <c r="AW30" s="24">
        <f>AW22/AW32</f>
        <v>0.64921090387374414</v>
      </c>
      <c r="AX30" s="24">
        <v>0.56999999999999995</v>
      </c>
      <c r="AY30" s="14">
        <f>+AY22/AY32</f>
        <v>2.540656205420825</v>
      </c>
      <c r="AZ30" s="54">
        <f>+AZ22/AZ32</f>
        <v>0.62273714699493066</v>
      </c>
      <c r="BA30" s="56">
        <f>+BA22/BA32</f>
        <v>0.6448326055312944</v>
      </c>
      <c r="BB30" s="57">
        <v>0.65</v>
      </c>
      <c r="BC30" s="57">
        <v>0.66</v>
      </c>
      <c r="BD30" s="58">
        <f>SUM(AZ30:BC30)-0.01</f>
        <v>2.5675697525262255</v>
      </c>
      <c r="BE30" s="54">
        <f>+BE22/BE32</f>
        <v>0.60381511371973551</v>
      </c>
      <c r="BF30" s="56">
        <v>0.7</v>
      </c>
      <c r="BG30" s="56">
        <v>0.69</v>
      </c>
      <c r="BH30" s="57">
        <v>0.66</v>
      </c>
      <c r="BI30" s="58">
        <f>SUM(BE30:BH30)</f>
        <v>2.6538151137197357</v>
      </c>
      <c r="BJ30" s="56">
        <v>0.5</v>
      </c>
      <c r="BK30" s="56">
        <v>0.59</v>
      </c>
      <c r="BL30" s="56">
        <v>0.71</v>
      </c>
      <c r="BM30" s="57">
        <v>0.59</v>
      </c>
      <c r="BN30" s="58">
        <f>SUM(BJ30:BM30)</f>
        <v>2.3899999999999997</v>
      </c>
      <c r="BO30" s="56">
        <v>0.4</v>
      </c>
      <c r="BP30" s="56">
        <v>0.15</v>
      </c>
      <c r="BQ30" s="56">
        <v>0.82</v>
      </c>
      <c r="BR30" s="57">
        <v>0.79</v>
      </c>
      <c r="BS30" s="58">
        <f>SUM(BO30:BR30)</f>
        <v>2.16</v>
      </c>
      <c r="BT30" s="56">
        <f>BT22/BT$32</f>
        <v>0.64196625091709547</v>
      </c>
      <c r="BU30" s="56">
        <f>BU22/BU$32-0.01</f>
        <v>0.65520467836257279</v>
      </c>
      <c r="BV30" s="56">
        <f>BV22/BV$32</f>
        <v>0.71000730460190009</v>
      </c>
      <c r="BW30" s="56">
        <f>BW22/BW$32</f>
        <v>0.77007299270073082</v>
      </c>
      <c r="BX30" s="58">
        <f>BX22/BX$32-0.01</f>
        <v>2.7785881492319002</v>
      </c>
      <c r="BY30" s="56">
        <f t="shared" ref="BY30:CL30" si="213">BY22/BY$32</f>
        <v>0.66033601168736278</v>
      </c>
      <c r="BZ30" s="56">
        <f t="shared" si="213"/>
        <v>0.69641550841258304</v>
      </c>
      <c r="CA30" s="56">
        <f t="shared" si="213"/>
        <v>0.52461425422483476</v>
      </c>
      <c r="CB30" s="56">
        <f t="shared" si="213"/>
        <v>0.38795003673769224</v>
      </c>
      <c r="CC30" s="58">
        <f t="shared" si="213"/>
        <v>2.2695970695970646</v>
      </c>
      <c r="CD30" s="56">
        <f t="shared" si="213"/>
        <v>0.39251650770359425</v>
      </c>
      <c r="CE30" s="56">
        <f t="shared" si="213"/>
        <v>0.37701317715959021</v>
      </c>
      <c r="CF30" s="56">
        <f>CF22/CF$32+0.01</f>
        <v>0.36307017543859699</v>
      </c>
      <c r="CG30" s="56">
        <f t="shared" si="213"/>
        <v>0.26153846153846089</v>
      </c>
      <c r="CH30" s="58">
        <f>CH22/CH$32</f>
        <v>1.3866471019809257</v>
      </c>
      <c r="CI30" s="56">
        <f t="shared" si="213"/>
        <v>0.23379461034231636</v>
      </c>
      <c r="CJ30" s="56">
        <f t="shared" si="213"/>
        <v>0.28841951930079901</v>
      </c>
      <c r="CK30" s="56">
        <f>CK22/CK$32</f>
        <v>0.31666666666666654</v>
      </c>
      <c r="CL30" s="56">
        <f t="shared" si="213"/>
        <v>0.20839363241678854</v>
      </c>
      <c r="CM30" s="58">
        <f>CM22/CM$32</f>
        <v>1.0502549162418062</v>
      </c>
      <c r="CN30" s="56">
        <f t="shared" ref="CN30:CO30" si="214">CN22/CN$32</f>
        <v>0.23809523809523822</v>
      </c>
      <c r="CO30" s="56">
        <f t="shared" si="214"/>
        <v>0.29584527220630391</v>
      </c>
      <c r="CP30" s="56">
        <f>CP22/CP$32</f>
        <v>0.28601997146933039</v>
      </c>
      <c r="CQ30" s="56">
        <f t="shared" ref="CQ30" si="215">CQ22/CQ$32</f>
        <v>0.22435897435897476</v>
      </c>
      <c r="CR30" s="58">
        <v>1.05</v>
      </c>
    </row>
    <row r="31" spans="1:96" ht="6" customHeight="1" x14ac:dyDescent="0.2">
      <c r="A31" s="16"/>
      <c r="F31" s="14"/>
      <c r="K31" s="14"/>
      <c r="P31" s="14"/>
      <c r="U31" s="14"/>
      <c r="Z31" s="14"/>
      <c r="AE31" s="14"/>
      <c r="AJ31" s="14"/>
      <c r="AO31" s="14"/>
      <c r="AT31" s="58"/>
      <c r="AY31" s="14"/>
      <c r="BD31" s="14"/>
      <c r="BI31" s="14"/>
      <c r="BN31" s="14"/>
      <c r="BS31" s="14"/>
      <c r="BX31" s="14"/>
      <c r="CC31" s="14"/>
      <c r="CH31" s="14"/>
      <c r="CM31" s="14"/>
      <c r="CR31" s="14"/>
    </row>
    <row r="32" spans="1:96" x14ac:dyDescent="0.2">
      <c r="A32" s="1" t="s">
        <v>112</v>
      </c>
      <c r="B32" s="17">
        <v>184</v>
      </c>
      <c r="C32" s="17">
        <v>182.6</v>
      </c>
      <c r="D32" s="17">
        <v>177.4</v>
      </c>
      <c r="E32" s="17">
        <v>175.4</v>
      </c>
      <c r="F32" s="20">
        <v>179.8</v>
      </c>
      <c r="G32" s="17">
        <v>173.2</v>
      </c>
      <c r="H32" s="17">
        <v>171.5</v>
      </c>
      <c r="I32" s="17">
        <v>166.1</v>
      </c>
      <c r="J32" s="17">
        <v>161.80000000000001</v>
      </c>
      <c r="K32" s="20">
        <v>168.2</v>
      </c>
      <c r="L32" s="17">
        <v>161.4</v>
      </c>
      <c r="M32" s="17">
        <v>161.80000000000001</v>
      </c>
      <c r="N32" s="17">
        <v>160.5</v>
      </c>
      <c r="O32" s="17">
        <v>156.19999999999999</v>
      </c>
      <c r="P32" s="20">
        <v>160</v>
      </c>
      <c r="Q32" s="17">
        <v>154.30000000000001</v>
      </c>
      <c r="R32" s="17">
        <v>153.80000000000001</v>
      </c>
      <c r="S32" s="17">
        <v>152.9</v>
      </c>
      <c r="T32" s="17">
        <v>152.4</v>
      </c>
      <c r="U32" s="20">
        <v>153.30000000000001</v>
      </c>
      <c r="V32" s="17">
        <v>150.80000000000001</v>
      </c>
      <c r="W32" s="17">
        <v>147.4</v>
      </c>
      <c r="X32" s="17">
        <v>145.1</v>
      </c>
      <c r="Y32" s="17">
        <v>144.69999999999999</v>
      </c>
      <c r="Z32" s="44">
        <v>147</v>
      </c>
      <c r="AA32" s="17">
        <v>145.1</v>
      </c>
      <c r="AB32" s="17">
        <v>145.4</v>
      </c>
      <c r="AC32" s="17">
        <v>146.1</v>
      </c>
      <c r="AD32" s="17">
        <v>147.19999999999999</v>
      </c>
      <c r="AE32" s="44">
        <v>146</v>
      </c>
      <c r="AF32" s="17">
        <v>148</v>
      </c>
      <c r="AG32" s="17">
        <v>148.1</v>
      </c>
      <c r="AH32" s="17">
        <v>147</v>
      </c>
      <c r="AI32" s="17">
        <v>145.9</v>
      </c>
      <c r="AJ32" s="44">
        <v>147.19999999999999</v>
      </c>
      <c r="AK32" s="17">
        <v>144</v>
      </c>
      <c r="AL32" s="17">
        <v>143.1</v>
      </c>
      <c r="AM32" s="17">
        <v>142.5</v>
      </c>
      <c r="AN32" s="17">
        <v>143.1</v>
      </c>
      <c r="AO32" s="20">
        <v>143.19999999999999</v>
      </c>
      <c r="AP32" s="17">
        <v>143.80000000000001</v>
      </c>
      <c r="AQ32" s="17">
        <v>143.4</v>
      </c>
      <c r="AR32" s="17">
        <v>142.5</v>
      </c>
      <c r="AS32" s="17">
        <v>141.9</v>
      </c>
      <c r="AT32" s="20">
        <v>142.9</v>
      </c>
      <c r="AU32" s="17">
        <v>141.19999999999999</v>
      </c>
      <c r="AV32" s="17">
        <v>140.1</v>
      </c>
      <c r="AW32" s="17">
        <v>139.4</v>
      </c>
      <c r="AX32" s="17">
        <v>139.19999999999999</v>
      </c>
      <c r="AY32" s="20">
        <v>140.19999999999999</v>
      </c>
      <c r="AZ32" s="17">
        <v>138.1</v>
      </c>
      <c r="BA32" s="17">
        <v>137.4</v>
      </c>
      <c r="BB32" s="17">
        <v>136.9</v>
      </c>
      <c r="BC32" s="17">
        <v>136.6</v>
      </c>
      <c r="BD32" s="20">
        <v>137.30000000000001</v>
      </c>
      <c r="BE32" s="17">
        <v>136.30000000000001</v>
      </c>
      <c r="BF32" s="17">
        <v>135</v>
      </c>
      <c r="BG32" s="17">
        <v>134.69999999999999</v>
      </c>
      <c r="BH32" s="17">
        <v>134.69999999999999</v>
      </c>
      <c r="BI32" s="20">
        <v>135.19999999999999</v>
      </c>
      <c r="BJ32" s="17">
        <v>135</v>
      </c>
      <c r="BK32" s="17">
        <v>135.19999999999999</v>
      </c>
      <c r="BL32" s="17">
        <v>135.4</v>
      </c>
      <c r="BM32" s="17">
        <v>135.80000000000001</v>
      </c>
      <c r="BN32" s="20">
        <v>135.35599999999999</v>
      </c>
      <c r="BO32" s="17">
        <v>135.6</v>
      </c>
      <c r="BP32" s="17">
        <v>135.69999999999999</v>
      </c>
      <c r="BQ32" s="17">
        <v>136.1</v>
      </c>
      <c r="BR32" s="17">
        <v>136.19999999999999</v>
      </c>
      <c r="BS32" s="20">
        <v>135.941</v>
      </c>
      <c r="BT32" s="17">
        <v>136.30000000000001</v>
      </c>
      <c r="BU32" s="17">
        <v>136.80000000000001</v>
      </c>
      <c r="BV32" s="17">
        <v>136.9</v>
      </c>
      <c r="BW32" s="17">
        <v>137</v>
      </c>
      <c r="BX32" s="20">
        <v>136.69999999999999</v>
      </c>
      <c r="BY32" s="17">
        <v>136.9</v>
      </c>
      <c r="BZ32" s="17">
        <v>136.69999999999999</v>
      </c>
      <c r="CA32" s="17">
        <v>136.1</v>
      </c>
      <c r="CB32" s="17">
        <v>136.1</v>
      </c>
      <c r="CC32" s="20">
        <v>136.5</v>
      </c>
      <c r="CD32" s="17">
        <v>136.30000000000001</v>
      </c>
      <c r="CE32" s="17">
        <v>136.6</v>
      </c>
      <c r="CF32" s="17">
        <v>136.80000000000001</v>
      </c>
      <c r="CG32" s="17">
        <v>136.5</v>
      </c>
      <c r="CH32" s="20">
        <v>136.30000000000001</v>
      </c>
      <c r="CI32" s="17">
        <v>137.30000000000001</v>
      </c>
      <c r="CJ32" s="17">
        <v>137.30000000000001</v>
      </c>
      <c r="CK32" s="17">
        <v>138</v>
      </c>
      <c r="CL32" s="17">
        <v>138.19999999999999</v>
      </c>
      <c r="CM32" s="20">
        <v>137.30000000000001</v>
      </c>
      <c r="CN32" s="17">
        <v>138.6</v>
      </c>
      <c r="CO32" s="17">
        <v>139.6</v>
      </c>
      <c r="CP32" s="17">
        <v>140.19999999999999</v>
      </c>
      <c r="CQ32" s="17">
        <v>140.4</v>
      </c>
      <c r="CR32" s="20">
        <v>139.69999999999999</v>
      </c>
    </row>
    <row r="33" spans="1:96" x14ac:dyDescent="0.2">
      <c r="A33" s="13" t="s">
        <v>113</v>
      </c>
      <c r="B33" s="24">
        <v>0.17</v>
      </c>
      <c r="C33" s="24">
        <v>0.18</v>
      </c>
      <c r="D33" s="24">
        <v>0.18</v>
      </c>
      <c r="E33" s="24">
        <v>0.25</v>
      </c>
      <c r="F33" s="14">
        <f>SUM(B33:E33)</f>
        <v>0.78</v>
      </c>
      <c r="G33" s="24">
        <v>0.25</v>
      </c>
      <c r="H33" s="24">
        <v>0.25</v>
      </c>
      <c r="I33" s="24">
        <v>0.25</v>
      </c>
      <c r="J33" s="24">
        <v>0.25</v>
      </c>
      <c r="K33" s="14">
        <f>SUM(G33:J33)</f>
        <v>1</v>
      </c>
      <c r="L33" s="24">
        <v>0.25</v>
      </c>
      <c r="M33" s="24">
        <v>0.25</v>
      </c>
      <c r="N33" s="24">
        <v>0.26</v>
      </c>
      <c r="O33" s="24">
        <v>0.26</v>
      </c>
      <c r="P33" s="14">
        <f>SUM(L33:O33)</f>
        <v>1.02</v>
      </c>
      <c r="Q33" s="24">
        <v>0.26</v>
      </c>
      <c r="R33" s="24">
        <v>0.26</v>
      </c>
      <c r="S33" s="24">
        <v>0.27</v>
      </c>
      <c r="T33" s="24">
        <v>0.27</v>
      </c>
      <c r="U33" s="14">
        <f>SUM(Q33:T33)</f>
        <v>1.06</v>
      </c>
      <c r="V33" s="24">
        <v>0.27</v>
      </c>
      <c r="W33" s="24">
        <v>0.27</v>
      </c>
      <c r="X33" s="24">
        <v>0.28000000000000003</v>
      </c>
      <c r="Y33" s="24">
        <v>0.28000000000000003</v>
      </c>
      <c r="Z33" s="14">
        <f>SUM(V33:Y33)</f>
        <v>1.1000000000000001</v>
      </c>
      <c r="AA33" s="24">
        <v>0.28000000000000003</v>
      </c>
      <c r="AB33" s="24">
        <v>0.28000000000000003</v>
      </c>
      <c r="AC33" s="24">
        <v>0.28999999999999998</v>
      </c>
      <c r="AD33" s="24">
        <v>0.28999999999999998</v>
      </c>
      <c r="AE33" s="14">
        <f>SUM(AA33:AD33)</f>
        <v>1.1400000000000001</v>
      </c>
      <c r="AF33" s="24">
        <v>0.28999999999999998</v>
      </c>
      <c r="AG33" s="24">
        <v>0.28999999999999998</v>
      </c>
      <c r="AH33" s="24">
        <v>0.3</v>
      </c>
      <c r="AI33" s="24">
        <v>0.3</v>
      </c>
      <c r="AJ33" s="14">
        <f>SUM(AF33:AI33)</f>
        <v>1.18</v>
      </c>
      <c r="AK33" s="24">
        <v>0.3</v>
      </c>
      <c r="AL33" s="24">
        <v>0.3</v>
      </c>
      <c r="AM33" s="24">
        <v>0.31</v>
      </c>
      <c r="AN33" s="24">
        <v>0.31</v>
      </c>
      <c r="AO33" s="14">
        <f>SUM(AK33:AN33)</f>
        <v>1.22</v>
      </c>
      <c r="AP33" s="24">
        <v>0.31</v>
      </c>
      <c r="AQ33" s="24">
        <v>0.31</v>
      </c>
      <c r="AR33" s="24">
        <v>0.32</v>
      </c>
      <c r="AS33" s="24">
        <v>0.32</v>
      </c>
      <c r="AT33" s="14">
        <f>SUM(AP33:AS33)</f>
        <v>1.26</v>
      </c>
      <c r="AU33" s="24">
        <v>0.32</v>
      </c>
      <c r="AV33" s="24">
        <v>0.34</v>
      </c>
      <c r="AW33" s="24">
        <v>0.34</v>
      </c>
      <c r="AX33" s="24">
        <v>0.34</v>
      </c>
      <c r="AY33" s="14">
        <f>SUM(AU33:AX33)</f>
        <v>1.34</v>
      </c>
      <c r="AZ33" s="24">
        <v>0.34</v>
      </c>
      <c r="BA33" s="56">
        <v>0.36</v>
      </c>
      <c r="BB33" s="56">
        <v>0.36</v>
      </c>
      <c r="BC33" s="24">
        <v>0.36</v>
      </c>
      <c r="BD33" s="14">
        <f>SUM(AZ33:BC33)</f>
        <v>1.42</v>
      </c>
      <c r="BE33" s="24">
        <v>0.36</v>
      </c>
      <c r="BF33" s="56">
        <v>0.38</v>
      </c>
      <c r="BG33" s="56">
        <v>0.38</v>
      </c>
      <c r="BH33" s="24">
        <v>0.38</v>
      </c>
      <c r="BI33" s="14">
        <f>SUM(BE33:BH33)</f>
        <v>1.5</v>
      </c>
      <c r="BJ33" s="56">
        <v>0.38</v>
      </c>
      <c r="BK33" s="56">
        <v>0.4</v>
      </c>
      <c r="BL33" s="56">
        <v>0.4</v>
      </c>
      <c r="BM33" s="24">
        <v>0.4</v>
      </c>
      <c r="BN33" s="14">
        <f>SUM(BJ33:BM33)</f>
        <v>1.58</v>
      </c>
      <c r="BO33" s="56">
        <v>0.4</v>
      </c>
      <c r="BP33" s="24">
        <v>0.4</v>
      </c>
      <c r="BQ33" s="56">
        <v>0.4</v>
      </c>
      <c r="BR33" s="56">
        <v>0.4</v>
      </c>
      <c r="BS33" s="14">
        <f>SUM(BO33:BR33)</f>
        <v>1.6</v>
      </c>
      <c r="BT33" s="56">
        <v>0.4</v>
      </c>
      <c r="BU33" s="56">
        <v>0.42</v>
      </c>
      <c r="BV33" s="56">
        <v>0.42</v>
      </c>
      <c r="BW33" s="57">
        <v>0.42</v>
      </c>
      <c r="BX33" s="14">
        <f>SUM(BT33:BW33)</f>
        <v>1.66</v>
      </c>
      <c r="BY33" s="56">
        <v>0.42</v>
      </c>
      <c r="BZ33" s="56">
        <v>0.44</v>
      </c>
      <c r="CA33" s="56">
        <v>0.44</v>
      </c>
      <c r="CB33" s="57">
        <v>0.44</v>
      </c>
      <c r="CC33" s="14">
        <f>SUM(BY33:CB33)</f>
        <v>1.74</v>
      </c>
      <c r="CD33" s="24">
        <v>0.44</v>
      </c>
      <c r="CE33" s="24">
        <v>0.46</v>
      </c>
      <c r="CF33" s="24">
        <v>0.46</v>
      </c>
      <c r="CG33" s="24">
        <v>0.46</v>
      </c>
      <c r="CH33" s="14">
        <f>SUM(CD33:CG33)</f>
        <v>1.82</v>
      </c>
      <c r="CI33" s="24">
        <v>0.46</v>
      </c>
      <c r="CJ33" s="24">
        <v>0.05</v>
      </c>
      <c r="CK33" s="24">
        <v>0.05</v>
      </c>
      <c r="CL33" s="24">
        <v>0.05</v>
      </c>
      <c r="CM33" s="14">
        <f>SUM(CI33:CL33)</f>
        <v>0.6100000000000001</v>
      </c>
      <c r="CN33" s="24">
        <v>0.05</v>
      </c>
      <c r="CO33" s="24">
        <v>0.05</v>
      </c>
      <c r="CP33" s="24">
        <v>0.05</v>
      </c>
      <c r="CQ33" s="24">
        <v>0.05</v>
      </c>
      <c r="CR33" s="14">
        <f>SUM(CN33:CQ33)</f>
        <v>0.2</v>
      </c>
    </row>
    <row r="34" spans="1:96" ht="12.75" thickBot="1" x14ac:dyDescent="0.25">
      <c r="F34" s="9"/>
      <c r="K34" s="9"/>
      <c r="P34" s="14"/>
      <c r="U34" s="14"/>
      <c r="Z34" s="14"/>
      <c r="AE34" s="14"/>
      <c r="AJ34" s="14"/>
      <c r="AO34" s="14"/>
      <c r="AT34" s="14"/>
      <c r="AY34" s="14"/>
      <c r="BD34" s="14"/>
      <c r="BI34" s="14"/>
      <c r="BN34" s="14"/>
      <c r="BS34" s="14"/>
      <c r="BX34" s="14"/>
      <c r="CC34" s="14"/>
      <c r="CH34" s="9"/>
      <c r="CM34" s="9"/>
      <c r="CR34" s="9"/>
    </row>
    <row r="35" spans="1:96" ht="12.75" thickBot="1" x14ac:dyDescent="0.25">
      <c r="A35" s="25" t="s">
        <v>114</v>
      </c>
      <c r="F35" s="9"/>
      <c r="K35" s="9"/>
      <c r="P35" s="14"/>
      <c r="U35" s="14"/>
      <c r="Z35" s="14"/>
      <c r="AE35" s="14"/>
      <c r="AJ35" s="14"/>
      <c r="AO35" s="14"/>
      <c r="AT35" s="14"/>
      <c r="AY35" s="14"/>
      <c r="BD35" s="14"/>
      <c r="BI35" s="14"/>
      <c r="BN35" s="14"/>
      <c r="BS35" s="14"/>
      <c r="BX35" s="14"/>
      <c r="CC35" s="14"/>
      <c r="CH35" s="9"/>
      <c r="CM35" s="9"/>
      <c r="CR35" s="9"/>
    </row>
    <row r="36" spans="1:96" x14ac:dyDescent="0.2">
      <c r="A36" s="6" t="s">
        <v>115</v>
      </c>
      <c r="B36" s="18">
        <v>148.6</v>
      </c>
      <c r="C36" s="18">
        <v>92.7</v>
      </c>
      <c r="D36" s="18">
        <v>194.2</v>
      </c>
      <c r="E36" s="18">
        <v>178.2</v>
      </c>
      <c r="F36" s="22">
        <f>SUM(B36:E36)</f>
        <v>613.70000000000005</v>
      </c>
      <c r="G36" s="18">
        <v>53.1</v>
      </c>
      <c r="H36" s="18">
        <v>73.400000000000006</v>
      </c>
      <c r="I36" s="18">
        <v>76.599999999999994</v>
      </c>
      <c r="J36" s="18">
        <v>233.1</v>
      </c>
      <c r="K36" s="22">
        <f>SUM(G36:J36)</f>
        <v>436.2</v>
      </c>
      <c r="L36" s="18">
        <v>114.8</v>
      </c>
      <c r="M36" s="18">
        <v>173.6</v>
      </c>
      <c r="N36" s="18">
        <v>142</v>
      </c>
      <c r="O36" s="18">
        <v>134.9</v>
      </c>
      <c r="P36" s="22">
        <f>SUM(L36:O36)</f>
        <v>565.29999999999995</v>
      </c>
      <c r="Q36" s="18">
        <v>51.1</v>
      </c>
      <c r="R36" s="18">
        <v>66.8</v>
      </c>
      <c r="S36" s="18">
        <v>90.5</v>
      </c>
      <c r="T36" s="18">
        <v>154.1</v>
      </c>
      <c r="U36" s="22">
        <f>SUM(Q36:T36)</f>
        <v>362.5</v>
      </c>
      <c r="V36" s="18">
        <v>46.8</v>
      </c>
      <c r="W36" s="18">
        <v>54.2</v>
      </c>
      <c r="X36" s="18">
        <v>101</v>
      </c>
      <c r="Y36" s="18">
        <v>126.9</v>
      </c>
      <c r="Z36" s="22">
        <f>SUM(V36:Y36)</f>
        <v>328.9</v>
      </c>
      <c r="AA36" s="18">
        <v>65.099999999999994</v>
      </c>
      <c r="AB36" s="18">
        <v>81.2</v>
      </c>
      <c r="AC36" s="18">
        <v>94.7</v>
      </c>
      <c r="AD36" s="18">
        <v>208.7</v>
      </c>
      <c r="AE36" s="22">
        <f>SUM(AA36:AD36)</f>
        <v>449.7</v>
      </c>
      <c r="AF36" s="18">
        <v>24</v>
      </c>
      <c r="AG36" s="18">
        <v>99.2</v>
      </c>
      <c r="AH36" s="18">
        <v>115.6</v>
      </c>
      <c r="AI36" s="18">
        <v>178.1</v>
      </c>
      <c r="AJ36" s="22">
        <f>SUM(AF36:AI36)</f>
        <v>416.9</v>
      </c>
      <c r="AK36" s="18">
        <v>-19.7</v>
      </c>
      <c r="AL36" s="18">
        <v>103.1</v>
      </c>
      <c r="AM36" s="18">
        <v>132.30000000000001</v>
      </c>
      <c r="AN36" s="18">
        <v>166.2</v>
      </c>
      <c r="AO36" s="22">
        <f>SUM(AK36:AN36)</f>
        <v>381.9</v>
      </c>
      <c r="AP36" s="18">
        <v>32.1</v>
      </c>
      <c r="AQ36" s="18">
        <v>94.8</v>
      </c>
      <c r="AR36" s="18">
        <v>129.9</v>
      </c>
      <c r="AS36" s="18">
        <v>102.3</v>
      </c>
      <c r="AT36" s="100">
        <f>SUM(AP36:AS36)</f>
        <v>359.1</v>
      </c>
      <c r="AU36" s="77">
        <v>111.3</v>
      </c>
      <c r="AV36" s="77">
        <v>150.80000000000001</v>
      </c>
      <c r="AW36" s="77">
        <v>123.6</v>
      </c>
      <c r="AX36" s="77">
        <v>166.9</v>
      </c>
      <c r="AY36" s="100">
        <f>SUM(AU36:AX36)</f>
        <v>552.6</v>
      </c>
      <c r="AZ36" s="77">
        <v>57.7</v>
      </c>
      <c r="BA36" s="77">
        <v>98.4</v>
      </c>
      <c r="BB36" s="77">
        <v>105.4</v>
      </c>
      <c r="BC36" s="77">
        <v>182.2</v>
      </c>
      <c r="BD36" s="100">
        <f>SUM(AZ36:BC36)</f>
        <v>443.7</v>
      </c>
      <c r="BE36" s="77">
        <v>44.1</v>
      </c>
      <c r="BF36" s="77">
        <v>80.5</v>
      </c>
      <c r="BG36" s="77">
        <v>126.5</v>
      </c>
      <c r="BH36" s="77">
        <v>189.2</v>
      </c>
      <c r="BI36" s="100">
        <f>SUM(BE36:BH36)</f>
        <v>440.29999999999995</v>
      </c>
      <c r="BJ36" s="77">
        <v>31.4</v>
      </c>
      <c r="BK36" s="77">
        <v>172.3</v>
      </c>
      <c r="BL36" s="77">
        <v>212.9</v>
      </c>
      <c r="BM36" s="77">
        <v>251.4</v>
      </c>
      <c r="BN36" s="100">
        <f>SUM(BJ36:BM36)</f>
        <v>668</v>
      </c>
      <c r="BO36" s="77">
        <v>10.4</v>
      </c>
      <c r="BP36" s="77">
        <v>112.1</v>
      </c>
      <c r="BQ36" s="77">
        <v>261.3</v>
      </c>
      <c r="BR36" s="77">
        <v>218.8</v>
      </c>
      <c r="BS36" s="100">
        <f>SUM(BO36:BR36)</f>
        <v>602.6</v>
      </c>
      <c r="BT36" s="77">
        <v>-10.6</v>
      </c>
      <c r="BU36" s="18">
        <v>40.9</v>
      </c>
      <c r="BV36" s="18">
        <v>50.1</v>
      </c>
      <c r="BW36" s="77">
        <v>190.9</v>
      </c>
      <c r="BX36" s="100">
        <f>SUM(BT36:BW36)</f>
        <v>271.3</v>
      </c>
      <c r="BY36" s="77">
        <v>39</v>
      </c>
      <c r="BZ36" s="18">
        <v>89.8</v>
      </c>
      <c r="CA36" s="18">
        <v>65.5</v>
      </c>
      <c r="CB36" s="18">
        <v>247.1</v>
      </c>
      <c r="CC36" s="100">
        <f>SUM(BY36:CB36)</f>
        <v>441.4</v>
      </c>
      <c r="CD36" s="18">
        <v>96.7</v>
      </c>
      <c r="CE36" s="18">
        <v>110.6</v>
      </c>
      <c r="CF36" s="18">
        <v>143.80000000000001</v>
      </c>
      <c r="CG36" s="18">
        <v>146.1</v>
      </c>
      <c r="CH36" s="22">
        <f>SUM(CD36:CG36)</f>
        <v>497.20000000000005</v>
      </c>
      <c r="CI36" s="18">
        <v>-6.1</v>
      </c>
      <c r="CJ36" s="18">
        <v>94</v>
      </c>
      <c r="CK36" s="18">
        <v>95.5</v>
      </c>
      <c r="CL36" s="18">
        <v>122.3</v>
      </c>
      <c r="CM36" s="22">
        <f>SUM(CI36:CL36)</f>
        <v>305.7</v>
      </c>
      <c r="CN36" s="18">
        <v>6.8</v>
      </c>
      <c r="CO36" s="18">
        <v>84</v>
      </c>
      <c r="CP36" s="18">
        <v>125.9</v>
      </c>
      <c r="CQ36" s="18">
        <v>121.5</v>
      </c>
      <c r="CR36" s="22">
        <f>SUM(CN36:CQ36)</f>
        <v>338.2</v>
      </c>
    </row>
    <row r="37" spans="1:96" x14ac:dyDescent="0.2">
      <c r="A37" s="1" t="s">
        <v>116</v>
      </c>
      <c r="B37" s="17">
        <v>44.2</v>
      </c>
      <c r="C37" s="17">
        <v>26.9</v>
      </c>
      <c r="D37" s="17">
        <v>37.4</v>
      </c>
      <c r="E37" s="17">
        <v>40.299999999999997</v>
      </c>
      <c r="F37" s="20">
        <f>SUM(B37:E37)</f>
        <v>148.80000000000001</v>
      </c>
      <c r="G37" s="17">
        <v>33.200000000000003</v>
      </c>
      <c r="H37" s="17">
        <v>31.6</v>
      </c>
      <c r="I37" s="17">
        <v>26</v>
      </c>
      <c r="J37" s="17">
        <v>27.5</v>
      </c>
      <c r="K37" s="20">
        <f>SUM(G37:J37)</f>
        <v>118.30000000000001</v>
      </c>
      <c r="L37" s="17">
        <v>21.7</v>
      </c>
      <c r="M37" s="17">
        <v>29.8</v>
      </c>
      <c r="N37" s="17">
        <v>13.9</v>
      </c>
      <c r="O37" s="17">
        <v>17.600000000000001</v>
      </c>
      <c r="P37" s="20">
        <f>SUM(L37:O37)</f>
        <v>83</v>
      </c>
      <c r="Q37" s="17">
        <v>13.5</v>
      </c>
      <c r="R37" s="17">
        <v>16.5</v>
      </c>
      <c r="S37" s="17">
        <v>18.600000000000001</v>
      </c>
      <c r="T37" s="17">
        <v>19.100000000000001</v>
      </c>
      <c r="U37" s="20">
        <f>SUM(Q37:T37)</f>
        <v>67.7</v>
      </c>
      <c r="V37" s="17">
        <v>16.7</v>
      </c>
      <c r="W37" s="17">
        <v>21.1</v>
      </c>
      <c r="X37" s="17">
        <v>18.899999999999999</v>
      </c>
      <c r="Y37" s="17">
        <v>18.3</v>
      </c>
      <c r="Z37" s="20">
        <f>SUM(V37:Y37)</f>
        <v>75</v>
      </c>
      <c r="AA37" s="17">
        <v>17.600000000000001</v>
      </c>
      <c r="AB37" s="17">
        <v>19.7</v>
      </c>
      <c r="AC37" s="17">
        <v>16.2</v>
      </c>
      <c r="AD37" s="17">
        <v>17.5</v>
      </c>
      <c r="AE37" s="20">
        <f>SUM(AA37:AD37)</f>
        <v>71</v>
      </c>
      <c r="AF37" s="17">
        <v>19.8</v>
      </c>
      <c r="AG37" s="17">
        <v>22.1</v>
      </c>
      <c r="AH37" s="17">
        <v>18.100000000000001</v>
      </c>
      <c r="AI37" s="17">
        <v>20.6</v>
      </c>
      <c r="AJ37" s="20">
        <f>SUM(AF37:AI37)</f>
        <v>80.600000000000009</v>
      </c>
      <c r="AK37" s="17">
        <v>15.1</v>
      </c>
      <c r="AL37" s="17">
        <v>23.3</v>
      </c>
      <c r="AM37" s="17">
        <v>24.6</v>
      </c>
      <c r="AN37" s="17">
        <v>31.1</v>
      </c>
      <c r="AO37" s="20">
        <f>SUM(AK37:AN37)</f>
        <v>94.1</v>
      </c>
      <c r="AP37" s="17">
        <v>21.7</v>
      </c>
      <c r="AQ37" s="17">
        <v>29.6</v>
      </c>
      <c r="AR37" s="17">
        <v>27.2</v>
      </c>
      <c r="AS37" s="17">
        <v>24.7</v>
      </c>
      <c r="AT37" s="72">
        <f>SUM(AP37:AS37)</f>
        <v>103.2</v>
      </c>
      <c r="AU37" s="70">
        <v>27.7</v>
      </c>
      <c r="AV37" s="70">
        <v>30.2</v>
      </c>
      <c r="AW37" s="70">
        <v>25.2</v>
      </c>
      <c r="AX37" s="70">
        <v>40.9</v>
      </c>
      <c r="AY37" s="72">
        <f>SUM(AU37:AX37)</f>
        <v>124</v>
      </c>
      <c r="AZ37" s="70">
        <v>34.299999999999997</v>
      </c>
      <c r="BA37" s="70">
        <v>44.8</v>
      </c>
      <c r="BB37" s="70">
        <v>39.9</v>
      </c>
      <c r="BC37" s="70">
        <v>40.4</v>
      </c>
      <c r="BD37" s="72">
        <f t="shared" ref="BD37:BD39" si="216">SUM(AZ37:BC37)</f>
        <v>159.4</v>
      </c>
      <c r="BE37" s="70">
        <v>40.299999999999997</v>
      </c>
      <c r="BF37" s="70">
        <v>40.9</v>
      </c>
      <c r="BG37" s="70">
        <v>41.4</v>
      </c>
      <c r="BH37" s="70">
        <v>37</v>
      </c>
      <c r="BI37" s="72">
        <f t="shared" ref="BI37:BI39" si="217">SUM(BE37:BH37)</f>
        <v>159.6</v>
      </c>
      <c r="BJ37" s="70">
        <v>31.8</v>
      </c>
      <c r="BK37" s="70">
        <v>38.700000000000003</v>
      </c>
      <c r="BL37" s="70">
        <v>32.5</v>
      </c>
      <c r="BM37" s="70">
        <v>40.1</v>
      </c>
      <c r="BN37" s="72">
        <f>SUM(BJ37:BM37)</f>
        <v>143.1</v>
      </c>
      <c r="BO37" s="70">
        <v>24.2</v>
      </c>
      <c r="BP37" s="70">
        <v>18.8</v>
      </c>
      <c r="BQ37" s="70">
        <v>9.3000000000000007</v>
      </c>
      <c r="BR37" s="70">
        <v>13.9</v>
      </c>
      <c r="BS37" s="72">
        <f>SUM(BO37:BR37)</f>
        <v>66.2</v>
      </c>
      <c r="BT37" s="70">
        <v>24</v>
      </c>
      <c r="BU37" s="17">
        <v>25</v>
      </c>
      <c r="BV37" s="17">
        <v>26.8</v>
      </c>
      <c r="BW37" s="70">
        <v>30.8</v>
      </c>
      <c r="BX37" s="72">
        <f>SUM(BT37:BW37)</f>
        <v>106.6</v>
      </c>
      <c r="BY37" s="70">
        <v>18.7</v>
      </c>
      <c r="BZ37" s="17">
        <v>22.1</v>
      </c>
      <c r="CA37" s="17">
        <v>24.7</v>
      </c>
      <c r="CB37" s="17">
        <v>34.799999999999997</v>
      </c>
      <c r="CC37" s="72">
        <f>SUM(BY37:CB37)</f>
        <v>100.3</v>
      </c>
      <c r="CD37" s="17">
        <v>37.700000000000003</v>
      </c>
      <c r="CE37" s="17">
        <v>30.5</v>
      </c>
      <c r="CF37" s="17">
        <v>22.2</v>
      </c>
      <c r="CG37" s="17">
        <v>23.4</v>
      </c>
      <c r="CH37" s="20">
        <f>SUM(CD37:CG37)</f>
        <v>113.80000000000001</v>
      </c>
      <c r="CI37" s="17">
        <v>25.9</v>
      </c>
      <c r="CJ37" s="17">
        <v>15.5</v>
      </c>
      <c r="CK37" s="17">
        <v>18.399999999999999</v>
      </c>
      <c r="CL37" s="17">
        <v>21.8</v>
      </c>
      <c r="CM37" s="20">
        <f>SUM(CI37:CL37)</f>
        <v>81.599999999999994</v>
      </c>
      <c r="CN37" s="17">
        <v>13.3</v>
      </c>
      <c r="CO37" s="17">
        <v>8.5</v>
      </c>
      <c r="CP37" s="17">
        <v>15.8</v>
      </c>
      <c r="CQ37" s="17">
        <v>19.600000000000001</v>
      </c>
      <c r="CR37" s="20">
        <f>SUM(CN37:CQ37)</f>
        <v>57.2</v>
      </c>
    </row>
    <row r="38" spans="1:96" x14ac:dyDescent="0.2">
      <c r="A38" s="1" t="s">
        <v>117</v>
      </c>
      <c r="B38" s="17">
        <v>82.6</v>
      </c>
      <c r="C38" s="17">
        <v>1.1000000000000001</v>
      </c>
      <c r="D38" s="17">
        <v>2</v>
      </c>
      <c r="E38" s="17">
        <v>25.6</v>
      </c>
      <c r="F38" s="20">
        <f>SUM(B38:E38)</f>
        <v>111.29999999999998</v>
      </c>
      <c r="G38" s="17">
        <v>0.6</v>
      </c>
      <c r="H38" s="17">
        <v>0.5</v>
      </c>
      <c r="I38" s="17">
        <v>8.1999999999999993</v>
      </c>
      <c r="J38" s="17">
        <v>1</v>
      </c>
      <c r="K38" s="20">
        <f>SUM(G38:J38)</f>
        <v>10.299999999999999</v>
      </c>
      <c r="L38" s="17">
        <v>0.3</v>
      </c>
      <c r="M38" s="17">
        <v>0</v>
      </c>
      <c r="N38" s="17">
        <v>2.5</v>
      </c>
      <c r="O38" s="17">
        <v>0</v>
      </c>
      <c r="P38" s="20">
        <f>SUM(L38:O38)</f>
        <v>2.8</v>
      </c>
      <c r="Q38" s="17">
        <v>0.4</v>
      </c>
      <c r="R38" s="17">
        <v>0</v>
      </c>
      <c r="S38" s="17">
        <v>0</v>
      </c>
      <c r="T38" s="17">
        <v>4.5</v>
      </c>
      <c r="U38" s="20">
        <f>SUM(Q38:T38)</f>
        <v>4.9000000000000004</v>
      </c>
      <c r="V38" s="17">
        <v>0.6</v>
      </c>
      <c r="W38" s="17">
        <v>4.0999999999999996</v>
      </c>
      <c r="X38" s="17">
        <v>1.9</v>
      </c>
      <c r="Y38" s="17">
        <v>0</v>
      </c>
      <c r="Z38" s="20">
        <f>SUM(V38:Y38)</f>
        <v>6.6</v>
      </c>
      <c r="AA38" s="17">
        <v>188.8</v>
      </c>
      <c r="AB38" s="17">
        <v>1</v>
      </c>
      <c r="AC38" s="17">
        <v>0.5</v>
      </c>
      <c r="AD38" s="17">
        <v>21.3</v>
      </c>
      <c r="AE38" s="20">
        <f>SUM(AA38:AD38)</f>
        <v>211.60000000000002</v>
      </c>
      <c r="AF38" s="17">
        <v>0.1</v>
      </c>
      <c r="AG38" s="17">
        <v>10</v>
      </c>
      <c r="AH38" s="17">
        <v>16.399999999999999</v>
      </c>
      <c r="AI38" s="17">
        <v>1.4</v>
      </c>
      <c r="AJ38" s="20">
        <f>SUM(AF38:AI38)</f>
        <v>27.9</v>
      </c>
      <c r="AK38" s="17">
        <v>2</v>
      </c>
      <c r="AL38" s="17">
        <v>49.2</v>
      </c>
      <c r="AM38" s="17">
        <v>19</v>
      </c>
      <c r="AN38" s="17">
        <v>0.2</v>
      </c>
      <c r="AO38" s="20">
        <f>SUM(AK38:AN38)</f>
        <v>70.400000000000006</v>
      </c>
      <c r="AP38" s="17">
        <v>12.2</v>
      </c>
      <c r="AQ38" s="17">
        <v>-1</v>
      </c>
      <c r="AR38" s="17">
        <v>0</v>
      </c>
      <c r="AS38" s="17">
        <v>0</v>
      </c>
      <c r="AT38" s="72">
        <f>SUM(AP38:AS38)</f>
        <v>11.2</v>
      </c>
      <c r="AU38" s="70">
        <v>16.399999999999999</v>
      </c>
      <c r="AV38" s="70">
        <v>0.5</v>
      </c>
      <c r="AW38" s="70">
        <v>11.1</v>
      </c>
      <c r="AX38" s="70">
        <v>1.5</v>
      </c>
      <c r="AY38" s="72">
        <f>SUM(AU38:AX38)</f>
        <v>29.5</v>
      </c>
      <c r="AZ38" s="70">
        <v>37.9</v>
      </c>
      <c r="BA38" s="70">
        <v>0.9</v>
      </c>
      <c r="BB38" s="70">
        <v>0.2</v>
      </c>
      <c r="BC38" s="70">
        <v>0.1</v>
      </c>
      <c r="BD38" s="72">
        <f t="shared" si="216"/>
        <v>39.1</v>
      </c>
      <c r="BE38" s="70">
        <v>85.8</v>
      </c>
      <c r="BF38" s="70">
        <v>4.4000000000000004</v>
      </c>
      <c r="BG38" s="70">
        <v>17.7</v>
      </c>
      <c r="BH38" s="70">
        <v>1.3</v>
      </c>
      <c r="BI38" s="72">
        <f t="shared" si="217"/>
        <v>109.2</v>
      </c>
      <c r="BJ38" s="70">
        <v>1244.3</v>
      </c>
      <c r="BK38" s="70">
        <v>0</v>
      </c>
      <c r="BL38" s="70">
        <v>0</v>
      </c>
      <c r="BM38" s="70">
        <v>20.8</v>
      </c>
      <c r="BN38" s="72">
        <f>SUM(BJ38:BM38)</f>
        <v>1265.0999999999999</v>
      </c>
      <c r="BO38" s="70">
        <v>0</v>
      </c>
      <c r="BP38" s="70">
        <v>0</v>
      </c>
      <c r="BQ38" s="70">
        <v>0</v>
      </c>
      <c r="BR38" s="70">
        <v>0</v>
      </c>
      <c r="BS38" s="72">
        <f>SUM(BO38:BR38)</f>
        <v>0</v>
      </c>
      <c r="BT38" s="70">
        <v>27.3</v>
      </c>
      <c r="BU38" s="17">
        <v>124.6</v>
      </c>
      <c r="BV38" s="17">
        <v>0.4</v>
      </c>
      <c r="BW38" s="70">
        <v>0.3</v>
      </c>
      <c r="BX38" s="72">
        <f>SUM(BT38:BW38)</f>
        <v>152.60000000000002</v>
      </c>
      <c r="BY38" s="70">
        <v>0</v>
      </c>
      <c r="BZ38" s="107">
        <v>0</v>
      </c>
      <c r="CA38" s="17">
        <v>62.5</v>
      </c>
      <c r="CB38" s="17">
        <v>20.8</v>
      </c>
      <c r="CC38" s="72">
        <f>SUM(BY38:CB38)</f>
        <v>83.3</v>
      </c>
      <c r="CD38" s="17">
        <v>0</v>
      </c>
      <c r="CE38" s="17">
        <v>0</v>
      </c>
      <c r="CF38" s="17">
        <v>0</v>
      </c>
      <c r="CG38" s="17">
        <v>0</v>
      </c>
      <c r="CH38" s="20">
        <f>SUM(CD38:CG38)</f>
        <v>0</v>
      </c>
      <c r="CI38" s="17">
        <v>0</v>
      </c>
      <c r="CJ38" s="17">
        <v>0</v>
      </c>
      <c r="CK38" s="17">
        <v>0</v>
      </c>
      <c r="CL38" s="17">
        <v>0</v>
      </c>
      <c r="CM38" s="20">
        <f>SUM(CI38:CL38)</f>
        <v>0</v>
      </c>
      <c r="CN38" s="17">
        <v>0</v>
      </c>
      <c r="CO38" s="17">
        <v>0</v>
      </c>
      <c r="CP38" s="17">
        <v>0</v>
      </c>
      <c r="CQ38" s="17">
        <v>0</v>
      </c>
      <c r="CR38" s="20">
        <f>SUM(CN38:CQ38)</f>
        <v>0</v>
      </c>
    </row>
    <row r="39" spans="1:96" x14ac:dyDescent="0.2">
      <c r="A39" s="1" t="s">
        <v>118</v>
      </c>
      <c r="B39" s="17">
        <v>30.9</v>
      </c>
      <c r="C39" s="17">
        <v>30.6</v>
      </c>
      <c r="D39" s="17">
        <v>32.200000000000003</v>
      </c>
      <c r="E39" s="17">
        <v>31.2</v>
      </c>
      <c r="F39" s="20">
        <f>SUM(B39:E39)</f>
        <v>124.9</v>
      </c>
      <c r="G39" s="17">
        <v>43.2</v>
      </c>
      <c r="H39" s="17">
        <v>42.5</v>
      </c>
      <c r="I39" s="17">
        <v>42</v>
      </c>
      <c r="J39" s="17">
        <v>37.4</v>
      </c>
      <c r="K39" s="20">
        <f>SUM(G39:J39)</f>
        <v>165.1</v>
      </c>
      <c r="L39" s="17">
        <v>39.1</v>
      </c>
      <c r="M39" s="17">
        <v>39.200000000000003</v>
      </c>
      <c r="N39" s="17">
        <v>39.200000000000003</v>
      </c>
      <c r="O39" s="17">
        <v>39.700000000000003</v>
      </c>
      <c r="P39" s="20">
        <f>SUM(L39:O39)</f>
        <v>157.20000000000002</v>
      </c>
      <c r="Q39" s="17">
        <v>38.700000000000003</v>
      </c>
      <c r="R39" s="17">
        <v>38.5</v>
      </c>
      <c r="S39" s="17">
        <v>38.200000000000003</v>
      </c>
      <c r="T39" s="17">
        <v>39.5</v>
      </c>
      <c r="U39" s="20">
        <f>SUM(Q39:T39)</f>
        <v>154.9</v>
      </c>
      <c r="V39" s="17">
        <v>39.700000000000003</v>
      </c>
      <c r="W39" s="17">
        <v>39.1</v>
      </c>
      <c r="X39" s="17">
        <v>38.200000000000003</v>
      </c>
      <c r="Y39" s="17">
        <v>38.9</v>
      </c>
      <c r="Z39" s="20">
        <f>SUM(V39:Y39)</f>
        <v>155.9</v>
      </c>
      <c r="AA39" s="17">
        <v>39</v>
      </c>
      <c r="AB39" s="17">
        <v>39.200000000000003</v>
      </c>
      <c r="AC39" s="17">
        <v>39.299999999999997</v>
      </c>
      <c r="AD39" s="17">
        <v>82</v>
      </c>
      <c r="AE39" s="20">
        <f>SUM(AA39:AD39)</f>
        <v>199.5</v>
      </c>
      <c r="AF39" s="17">
        <v>0</v>
      </c>
      <c r="AG39" s="17">
        <v>41.4</v>
      </c>
      <c r="AH39" s="17">
        <v>41.2</v>
      </c>
      <c r="AI39" s="17">
        <v>42.3</v>
      </c>
      <c r="AJ39" s="20">
        <f>SUM(AF39:AI39)</f>
        <v>124.89999999999999</v>
      </c>
      <c r="AK39" s="17">
        <v>42</v>
      </c>
      <c r="AL39" s="17">
        <v>41.7</v>
      </c>
      <c r="AM39" s="17">
        <v>41.2</v>
      </c>
      <c r="AN39" s="17">
        <v>42.6</v>
      </c>
      <c r="AO39" s="20">
        <f>SUM(AK39:AN39)</f>
        <v>167.5</v>
      </c>
      <c r="AP39" s="17">
        <v>42.7</v>
      </c>
      <c r="AQ39" s="17">
        <v>42.8</v>
      </c>
      <c r="AR39" s="17">
        <v>42.5</v>
      </c>
      <c r="AS39" s="17">
        <v>43.6</v>
      </c>
      <c r="AT39" s="72">
        <f>SUM(AP39:AS39)</f>
        <v>171.6</v>
      </c>
      <c r="AU39" s="70">
        <v>43.5</v>
      </c>
      <c r="AV39" s="70">
        <v>43</v>
      </c>
      <c r="AW39" s="70">
        <v>45.5</v>
      </c>
      <c r="AX39" s="70">
        <v>45.4</v>
      </c>
      <c r="AY39" s="72">
        <f>SUM(AU39:AX39)</f>
        <v>177.4</v>
      </c>
      <c r="AZ39" s="70">
        <v>45.4</v>
      </c>
      <c r="BA39" s="70">
        <v>45</v>
      </c>
      <c r="BB39" s="70">
        <v>47.6</v>
      </c>
      <c r="BC39" s="70">
        <v>47.6</v>
      </c>
      <c r="BD39" s="72">
        <f t="shared" si="216"/>
        <v>185.6</v>
      </c>
      <c r="BE39" s="70">
        <v>47.5</v>
      </c>
      <c r="BF39" s="70">
        <v>47.3</v>
      </c>
      <c r="BG39" s="70">
        <v>49.4</v>
      </c>
      <c r="BH39" s="70">
        <v>49.5</v>
      </c>
      <c r="BI39" s="72">
        <f t="shared" si="217"/>
        <v>193.7</v>
      </c>
      <c r="BJ39" s="70">
        <v>49.6</v>
      </c>
      <c r="BK39" s="70">
        <v>49.8</v>
      </c>
      <c r="BL39" s="70">
        <v>52.6</v>
      </c>
      <c r="BM39" s="70">
        <v>52.6</v>
      </c>
      <c r="BN39" s="72">
        <f>SUM(BJ39:BM39)</f>
        <v>204.6</v>
      </c>
      <c r="BO39" s="70">
        <v>52.7</v>
      </c>
      <c r="BP39" s="70">
        <v>52.9</v>
      </c>
      <c r="BQ39" s="70">
        <v>52.9</v>
      </c>
      <c r="BR39" s="70">
        <v>53</v>
      </c>
      <c r="BS39" s="72">
        <f>SUM(BO39:BR39)</f>
        <v>211.5</v>
      </c>
      <c r="BT39" s="70">
        <v>53</v>
      </c>
      <c r="BU39" s="17">
        <v>53.3</v>
      </c>
      <c r="BV39" s="17">
        <v>56</v>
      </c>
      <c r="BW39" s="70">
        <v>56</v>
      </c>
      <c r="BX39" s="72">
        <f>SUM(BT39:BW39)</f>
        <v>218.3</v>
      </c>
      <c r="BY39" s="70">
        <v>56</v>
      </c>
      <c r="BZ39" s="17">
        <v>56.1</v>
      </c>
      <c r="CA39" s="17">
        <v>58.7</v>
      </c>
      <c r="CB39" s="17">
        <v>58.4</v>
      </c>
      <c r="CC39" s="72">
        <f>SUM(BY39:CB39)</f>
        <v>229.20000000000002</v>
      </c>
      <c r="CD39" s="17">
        <v>58.3</v>
      </c>
      <c r="CE39" s="17">
        <v>58.6</v>
      </c>
      <c r="CF39" s="17">
        <v>61.2</v>
      </c>
      <c r="CG39" s="17">
        <v>61.3</v>
      </c>
      <c r="CH39" s="20">
        <f>SUM(CD39:CG39)</f>
        <v>239.40000000000003</v>
      </c>
      <c r="CI39" s="17">
        <v>61.3</v>
      </c>
      <c r="CJ39" s="17">
        <v>61.7</v>
      </c>
      <c r="CK39" s="17">
        <v>6.7</v>
      </c>
      <c r="CL39" s="17">
        <v>6.6</v>
      </c>
      <c r="CM39" s="20">
        <f>SUM(CI39:CL39)</f>
        <v>136.29999999999998</v>
      </c>
      <c r="CN39" s="17">
        <v>6.7</v>
      </c>
      <c r="CO39" s="17">
        <v>6.8</v>
      </c>
      <c r="CP39" s="17">
        <v>6.7</v>
      </c>
      <c r="CQ39" s="17">
        <v>6.8</v>
      </c>
      <c r="CR39" s="20">
        <f>SUM(CN39:CQ39)</f>
        <v>27</v>
      </c>
    </row>
    <row r="40" spans="1:96" ht="12.75" thickBot="1" x14ac:dyDescent="0.25">
      <c r="B40" s="17"/>
      <c r="C40" s="17"/>
      <c r="D40" s="17"/>
      <c r="E40" s="17"/>
      <c r="F40" s="20"/>
      <c r="G40" s="17"/>
      <c r="H40" s="17"/>
      <c r="I40" s="17"/>
      <c r="J40" s="17"/>
      <c r="K40" s="20"/>
      <c r="L40" s="17"/>
      <c r="M40" s="17"/>
      <c r="N40" s="17"/>
      <c r="O40" s="17"/>
      <c r="P40" s="20"/>
      <c r="Q40" s="17"/>
      <c r="R40" s="17"/>
      <c r="S40" s="17"/>
      <c r="T40" s="17"/>
      <c r="U40" s="20"/>
      <c r="V40" s="17"/>
      <c r="W40" s="17"/>
      <c r="X40" s="17"/>
      <c r="Y40" s="17"/>
      <c r="Z40" s="20"/>
      <c r="AA40" s="17"/>
      <c r="AB40" s="17"/>
      <c r="AC40" s="17"/>
      <c r="AD40" s="17"/>
      <c r="AE40" s="20"/>
      <c r="AF40" s="17"/>
      <c r="AG40" s="17"/>
      <c r="AH40" s="17"/>
      <c r="AI40" s="17"/>
      <c r="AJ40" s="20"/>
      <c r="AK40" s="17"/>
      <c r="AL40" s="17"/>
      <c r="AM40" s="17"/>
      <c r="AN40" s="17"/>
      <c r="AO40" s="20"/>
      <c r="AP40" s="17"/>
      <c r="AQ40" s="17"/>
      <c r="AR40" s="17"/>
      <c r="AS40" s="17"/>
      <c r="AT40" s="20"/>
      <c r="AU40" s="17"/>
      <c r="AV40" s="17"/>
      <c r="AW40" s="17"/>
      <c r="AX40" s="17"/>
      <c r="AY40" s="20"/>
      <c r="AZ40" s="17"/>
      <c r="BA40" s="17"/>
      <c r="BB40" s="17"/>
      <c r="BC40" s="17"/>
      <c r="BD40" s="20"/>
      <c r="BE40" s="17"/>
      <c r="BF40" s="17"/>
      <c r="BG40" s="17"/>
      <c r="BH40" s="17"/>
      <c r="BI40" s="20"/>
      <c r="BJ40" s="17"/>
      <c r="BK40" s="17"/>
      <c r="BL40" s="17"/>
      <c r="BM40" s="17"/>
      <c r="BN40" s="20"/>
      <c r="BO40" s="17"/>
      <c r="BP40" s="17"/>
      <c r="BQ40" s="17"/>
      <c r="BR40" s="17"/>
      <c r="BS40" s="20"/>
      <c r="BT40" s="17"/>
      <c r="BU40" s="17"/>
      <c r="BV40" s="17"/>
      <c r="BW40" s="17"/>
      <c r="BX40" s="20"/>
      <c r="BY40" s="17"/>
      <c r="BZ40" s="17"/>
      <c r="CA40" s="17"/>
      <c r="CB40" s="17"/>
      <c r="CC40" s="20"/>
      <c r="CD40" s="17"/>
      <c r="CE40" s="17"/>
      <c r="CF40" s="17"/>
      <c r="CG40" s="17"/>
      <c r="CH40" s="20"/>
      <c r="CI40" s="17"/>
      <c r="CJ40" s="17"/>
      <c r="CK40" s="17"/>
      <c r="CL40" s="17"/>
      <c r="CM40" s="20"/>
      <c r="CN40" s="17"/>
      <c r="CO40" s="17"/>
      <c r="CP40" s="17"/>
      <c r="CQ40" s="17"/>
      <c r="CR40" s="20"/>
    </row>
    <row r="41" spans="1:96" ht="12.75" thickBot="1" x14ac:dyDescent="0.25">
      <c r="A41" s="25" t="s">
        <v>188</v>
      </c>
      <c r="B41" s="17"/>
      <c r="C41" s="17"/>
      <c r="D41" s="17"/>
      <c r="E41" s="17"/>
      <c r="F41" s="20"/>
      <c r="G41" s="17"/>
      <c r="H41" s="17"/>
      <c r="I41" s="17"/>
      <c r="J41" s="17"/>
      <c r="K41" s="20"/>
      <c r="L41" s="17"/>
      <c r="M41" s="17"/>
      <c r="N41" s="17"/>
      <c r="O41" s="17"/>
      <c r="P41" s="20"/>
      <c r="Q41" s="17"/>
      <c r="R41" s="17"/>
      <c r="S41" s="17"/>
      <c r="T41" s="17"/>
      <c r="U41" s="20"/>
      <c r="V41" s="17"/>
      <c r="W41" s="17"/>
      <c r="X41" s="17"/>
      <c r="Y41" s="17"/>
      <c r="Z41" s="20"/>
      <c r="AA41" s="17"/>
      <c r="AB41" s="17"/>
      <c r="AC41" s="17"/>
      <c r="AD41" s="17"/>
      <c r="AE41" s="20"/>
      <c r="AF41" s="17"/>
      <c r="AG41" s="17"/>
      <c r="AH41" s="17"/>
      <c r="AI41" s="17"/>
      <c r="AJ41" s="20"/>
      <c r="AK41" s="17"/>
      <c r="AL41" s="17"/>
      <c r="AM41" s="17"/>
      <c r="AN41" s="17"/>
      <c r="AO41" s="20"/>
      <c r="AP41" s="17"/>
      <c r="AQ41" s="17"/>
      <c r="AR41" s="17"/>
      <c r="AS41" s="17"/>
      <c r="AT41" s="20"/>
      <c r="AU41" s="17"/>
      <c r="AV41" s="17"/>
      <c r="AW41" s="17"/>
      <c r="AX41" s="17"/>
      <c r="AY41" s="20"/>
      <c r="AZ41" s="17"/>
      <c r="BA41" s="17"/>
      <c r="BB41" s="17"/>
      <c r="BC41" s="17"/>
      <c r="BD41" s="20"/>
      <c r="BE41" s="17"/>
      <c r="BF41" s="17"/>
      <c r="BG41" s="17"/>
      <c r="BH41" s="17"/>
      <c r="BI41" s="20"/>
      <c r="BJ41" s="17"/>
      <c r="BK41" s="17"/>
      <c r="BL41" s="17"/>
      <c r="BM41" s="17"/>
      <c r="BN41" s="20"/>
      <c r="BO41" s="17"/>
      <c r="BP41" s="17"/>
      <c r="BQ41" s="17"/>
      <c r="BR41" s="17"/>
      <c r="BS41" s="20"/>
      <c r="BT41" s="17"/>
      <c r="BU41" s="17"/>
      <c r="BV41" s="17"/>
      <c r="BW41" s="17"/>
      <c r="BX41" s="20"/>
      <c r="BY41" s="17"/>
      <c r="BZ41" s="17"/>
      <c r="CA41" s="17"/>
      <c r="CB41" s="17"/>
      <c r="CC41" s="20"/>
      <c r="CD41" s="17"/>
      <c r="CE41" s="17"/>
      <c r="CF41" s="17"/>
      <c r="CG41" s="17"/>
      <c r="CH41" s="20"/>
      <c r="CI41" s="17"/>
      <c r="CJ41" s="17"/>
      <c r="CK41" s="17"/>
      <c r="CL41" s="17"/>
      <c r="CM41" s="20"/>
      <c r="CN41" s="17"/>
      <c r="CO41" s="17"/>
      <c r="CP41" s="17"/>
      <c r="CQ41" s="17"/>
      <c r="CR41" s="20"/>
    </row>
    <row r="42" spans="1:96" x14ac:dyDescent="0.2">
      <c r="A42" s="1" t="s">
        <v>120</v>
      </c>
      <c r="B42" s="17"/>
      <c r="C42" s="17"/>
      <c r="D42" s="17"/>
      <c r="E42" s="17"/>
      <c r="F42" s="20">
        <v>205.4</v>
      </c>
      <c r="G42" s="17">
        <v>188.1</v>
      </c>
      <c r="H42" s="17">
        <v>203.1</v>
      </c>
      <c r="I42" s="17">
        <v>211.4</v>
      </c>
      <c r="J42" s="17">
        <v>164.7</v>
      </c>
      <c r="K42" s="20">
        <v>164.7</v>
      </c>
      <c r="L42" s="17">
        <v>160.19999999999999</v>
      </c>
      <c r="M42" s="17">
        <v>222.2</v>
      </c>
      <c r="N42" s="17">
        <v>221.5</v>
      </c>
      <c r="O42" s="17">
        <v>260.5</v>
      </c>
      <c r="P42" s="20">
        <v>260.5</v>
      </c>
      <c r="Q42" s="17">
        <v>247.2</v>
      </c>
      <c r="R42" s="17">
        <v>243.5</v>
      </c>
      <c r="S42" s="17">
        <v>276.7</v>
      </c>
      <c r="T42" s="17">
        <v>244.5</v>
      </c>
      <c r="U42" s="20">
        <v>244.5</v>
      </c>
      <c r="V42" s="17">
        <v>195.4</v>
      </c>
      <c r="W42" s="17">
        <v>203.3</v>
      </c>
      <c r="X42" s="17">
        <v>218.8</v>
      </c>
      <c r="Y42" s="17">
        <v>236.3</v>
      </c>
      <c r="Z42" s="20">
        <v>236.3</v>
      </c>
      <c r="AA42" s="17">
        <v>261.2</v>
      </c>
      <c r="AB42" s="17">
        <v>271.2</v>
      </c>
      <c r="AC42" s="17">
        <v>264.89999999999998</v>
      </c>
      <c r="AD42" s="17">
        <v>359.1</v>
      </c>
      <c r="AE42" s="20">
        <v>359.1</v>
      </c>
      <c r="AF42" s="17">
        <v>449.4</v>
      </c>
      <c r="AG42" s="17">
        <v>280.3</v>
      </c>
      <c r="AH42" s="17">
        <v>298.89999999999998</v>
      </c>
      <c r="AI42" s="17">
        <v>272.7</v>
      </c>
      <c r="AJ42" s="20">
        <v>272.7</v>
      </c>
      <c r="AK42" s="17">
        <v>268.60000000000002</v>
      </c>
      <c r="AL42" s="17">
        <v>304.2</v>
      </c>
      <c r="AM42" s="17">
        <v>242.9</v>
      </c>
      <c r="AN42" s="17">
        <v>332.8</v>
      </c>
      <c r="AO42" s="20">
        <v>332.7</v>
      </c>
      <c r="AP42" s="17"/>
      <c r="AQ42" s="17"/>
      <c r="AR42" s="17"/>
      <c r="AS42" s="17"/>
      <c r="AT42" s="20">
        <v>253.2</v>
      </c>
      <c r="AU42" s="17"/>
      <c r="AV42" s="17"/>
      <c r="AW42" s="17"/>
      <c r="AX42" s="17"/>
      <c r="AY42" s="20">
        <v>281.89999999999998</v>
      </c>
      <c r="AZ42" s="17"/>
      <c r="BA42" s="17"/>
      <c r="BB42" s="17"/>
      <c r="BC42" s="17"/>
      <c r="BD42" s="20">
        <v>526.1</v>
      </c>
      <c r="BE42" s="17"/>
      <c r="BF42" s="17"/>
      <c r="BG42" s="17"/>
      <c r="BH42" s="17"/>
      <c r="BI42" s="20">
        <v>268.10000000000002</v>
      </c>
      <c r="BJ42" s="17">
        <v>263.3</v>
      </c>
      <c r="BK42" s="17">
        <v>289.7</v>
      </c>
      <c r="BL42" s="17">
        <v>242</v>
      </c>
      <c r="BM42" s="17">
        <v>247.6</v>
      </c>
      <c r="BN42" s="20">
        <v>247.6</v>
      </c>
      <c r="BO42" s="17">
        <v>505.8</v>
      </c>
      <c r="BP42" s="17">
        <v>208.8</v>
      </c>
      <c r="BQ42" s="17">
        <v>245</v>
      </c>
      <c r="BR42" s="17">
        <v>348.9</v>
      </c>
      <c r="BS42" s="20">
        <v>348.9</v>
      </c>
      <c r="BT42" s="17">
        <v>333.8</v>
      </c>
      <c r="BU42" s="17">
        <v>231.6</v>
      </c>
      <c r="BV42" s="17">
        <v>234.7</v>
      </c>
      <c r="BW42" s="17">
        <v>361.7</v>
      </c>
      <c r="BX42" s="20">
        <v>361.7</v>
      </c>
      <c r="BY42" s="17">
        <v>327.3</v>
      </c>
      <c r="BZ42" s="17">
        <v>269.89999999999998</v>
      </c>
      <c r="CA42" s="17">
        <v>226.2</v>
      </c>
      <c r="CB42" s="17">
        <v>316.5</v>
      </c>
      <c r="CC42" s="20">
        <v>316.5</v>
      </c>
      <c r="CD42" s="17">
        <v>344.5</v>
      </c>
      <c r="CE42" s="17">
        <v>272.39999999999998</v>
      </c>
      <c r="CF42" s="17">
        <v>273.89999999999998</v>
      </c>
      <c r="CG42" s="17">
        <v>365.5</v>
      </c>
      <c r="CH42" s="20">
        <v>365.5</v>
      </c>
      <c r="CI42" s="17">
        <v>361.3</v>
      </c>
      <c r="CJ42" s="17">
        <v>307</v>
      </c>
      <c r="CK42" s="17">
        <v>277.2</v>
      </c>
      <c r="CL42" s="17">
        <v>350.2</v>
      </c>
      <c r="CM42" s="20">
        <v>350.2</v>
      </c>
      <c r="CN42" s="17">
        <v>412.6</v>
      </c>
      <c r="CO42" s="17">
        <v>368.8</v>
      </c>
      <c r="CP42" s="17">
        <v>460.7</v>
      </c>
      <c r="CQ42" s="17">
        <v>587.4</v>
      </c>
      <c r="CR42" s="20">
        <v>587.4</v>
      </c>
    </row>
    <row r="43" spans="1:96" x14ac:dyDescent="0.2">
      <c r="A43" s="1" t="s">
        <v>121</v>
      </c>
      <c r="B43" s="17"/>
      <c r="C43" s="17"/>
      <c r="D43" s="17"/>
      <c r="E43" s="17"/>
      <c r="F43" s="20">
        <f>640.2-9.8</f>
        <v>630.40000000000009</v>
      </c>
      <c r="G43" s="17">
        <v>666.4</v>
      </c>
      <c r="H43" s="17">
        <v>683.6</v>
      </c>
      <c r="I43" s="17">
        <v>721</v>
      </c>
      <c r="J43" s="17">
        <v>550.5</v>
      </c>
      <c r="K43" s="20">
        <v>550.5</v>
      </c>
      <c r="L43" s="17">
        <v>493</v>
      </c>
      <c r="M43" s="17">
        <v>492.7</v>
      </c>
      <c r="N43" s="17">
        <v>548.70000000000005</v>
      </c>
      <c r="O43" s="17">
        <v>469.5</v>
      </c>
      <c r="P43" s="20">
        <v>469.5</v>
      </c>
      <c r="Q43" s="17">
        <v>523.9</v>
      </c>
      <c r="R43" s="17">
        <v>537.20000000000005</v>
      </c>
      <c r="S43" s="17">
        <v>546.6</v>
      </c>
      <c r="T43" s="17">
        <v>478.9</v>
      </c>
      <c r="U43" s="20">
        <v>478.9</v>
      </c>
      <c r="V43" s="17">
        <v>575.6</v>
      </c>
      <c r="W43" s="17">
        <v>567.9</v>
      </c>
      <c r="X43" s="17">
        <v>576.70000000000005</v>
      </c>
      <c r="Y43" s="17">
        <v>503.6</v>
      </c>
      <c r="Z43" s="20">
        <v>503.6</v>
      </c>
      <c r="AA43" s="17">
        <v>571.6</v>
      </c>
      <c r="AB43" s="17">
        <v>557.6</v>
      </c>
      <c r="AC43" s="17">
        <v>589.70000000000005</v>
      </c>
      <c r="AD43" s="17">
        <v>446.2</v>
      </c>
      <c r="AE43" s="20">
        <v>446.2</v>
      </c>
      <c r="AF43" s="17">
        <v>528.6</v>
      </c>
      <c r="AG43" s="17">
        <v>553</v>
      </c>
      <c r="AH43" s="17">
        <v>574.70000000000005</v>
      </c>
      <c r="AI43" s="17">
        <v>467.4</v>
      </c>
      <c r="AJ43" s="20">
        <v>467.4</v>
      </c>
      <c r="AK43" s="17">
        <v>573.9</v>
      </c>
      <c r="AL43" s="17">
        <v>603.4</v>
      </c>
      <c r="AM43" s="17">
        <v>584.4</v>
      </c>
      <c r="AN43" s="17">
        <v>523.29999999999995</v>
      </c>
      <c r="AO43" s="20">
        <v>523.29999999999995</v>
      </c>
      <c r="AP43" s="17"/>
      <c r="AQ43" s="17"/>
      <c r="AR43" s="17"/>
      <c r="AS43" s="17"/>
      <c r="AT43" s="20">
        <v>520.20000000000005</v>
      </c>
      <c r="AU43" s="17"/>
      <c r="AV43" s="17"/>
      <c r="AW43" s="17"/>
      <c r="AX43" s="17"/>
      <c r="AY43" s="20">
        <v>486.6</v>
      </c>
      <c r="AZ43" s="17"/>
      <c r="BA43" s="17"/>
      <c r="BB43" s="17"/>
      <c r="BC43" s="17"/>
      <c r="BD43" s="20">
        <v>595.1</v>
      </c>
      <c r="BE43" s="17"/>
      <c r="BF43" s="17"/>
      <c r="BG43" s="17"/>
      <c r="BH43" s="17"/>
      <c r="BI43" s="20">
        <v>571.6</v>
      </c>
      <c r="BJ43" s="17">
        <v>665.3</v>
      </c>
      <c r="BK43" s="17">
        <v>700.3</v>
      </c>
      <c r="BL43" s="17">
        <v>677.3</v>
      </c>
      <c r="BM43" s="17">
        <v>591.9</v>
      </c>
      <c r="BN43" s="20">
        <v>591.9</v>
      </c>
      <c r="BO43" s="17">
        <v>568.20000000000005</v>
      </c>
      <c r="BP43" s="17">
        <v>577.29999999999995</v>
      </c>
      <c r="BQ43" s="17">
        <v>642.29999999999995</v>
      </c>
      <c r="BR43" s="17">
        <v>563.6</v>
      </c>
      <c r="BS43" s="20">
        <v>563.6</v>
      </c>
      <c r="BT43" s="17">
        <v>602.9</v>
      </c>
      <c r="BU43" s="17">
        <v>704.8</v>
      </c>
      <c r="BV43" s="17">
        <v>699.1</v>
      </c>
      <c r="BW43" s="17">
        <v>651.5</v>
      </c>
      <c r="BX43" s="20">
        <v>651.5</v>
      </c>
      <c r="BY43" s="17">
        <v>704.9</v>
      </c>
      <c r="BZ43" s="17">
        <v>722.6</v>
      </c>
      <c r="CA43" s="17">
        <v>730.3</v>
      </c>
      <c r="CB43" s="17">
        <v>675</v>
      </c>
      <c r="CC43" s="20">
        <v>675</v>
      </c>
      <c r="CD43" s="17">
        <v>718.2</v>
      </c>
      <c r="CE43" s="17">
        <v>702.7</v>
      </c>
      <c r="CF43" s="17">
        <v>711.3</v>
      </c>
      <c r="CG43" s="17">
        <v>637.29999999999995</v>
      </c>
      <c r="CH43" s="20">
        <v>637.29999999999995</v>
      </c>
      <c r="CI43" s="17">
        <v>635.1</v>
      </c>
      <c r="CJ43" s="17">
        <v>648.70000000000005</v>
      </c>
      <c r="CK43" s="17">
        <v>638.1</v>
      </c>
      <c r="CL43" s="17">
        <v>559.4</v>
      </c>
      <c r="CM43" s="20">
        <v>559.4</v>
      </c>
      <c r="CN43" s="17">
        <v>558.1</v>
      </c>
      <c r="CO43" s="17">
        <v>577.20000000000005</v>
      </c>
      <c r="CP43" s="17">
        <v>568.4</v>
      </c>
      <c r="CQ43" s="17">
        <v>475.9</v>
      </c>
      <c r="CR43" s="20">
        <v>475.9</v>
      </c>
    </row>
    <row r="44" spans="1:96" x14ac:dyDescent="0.2">
      <c r="A44" s="1" t="s">
        <v>122</v>
      </c>
      <c r="B44" s="17"/>
      <c r="C44" s="17"/>
      <c r="D44" s="17"/>
      <c r="E44" s="17"/>
      <c r="F44" s="20">
        <f>599.2-8.2</f>
        <v>591</v>
      </c>
      <c r="G44" s="17">
        <v>599.20000000000005</v>
      </c>
      <c r="H44" s="17">
        <v>669.2</v>
      </c>
      <c r="I44" s="17">
        <v>644.79999999999995</v>
      </c>
      <c r="J44" s="17">
        <v>495</v>
      </c>
      <c r="K44" s="20">
        <v>495</v>
      </c>
      <c r="L44" s="17">
        <v>452.7</v>
      </c>
      <c r="M44" s="17">
        <v>411.1</v>
      </c>
      <c r="N44" s="17">
        <v>397.4</v>
      </c>
      <c r="O44" s="17">
        <v>409.1</v>
      </c>
      <c r="P44" s="20">
        <v>409.1</v>
      </c>
      <c r="Q44" s="17">
        <v>438.6</v>
      </c>
      <c r="R44" s="17">
        <v>451.5</v>
      </c>
      <c r="S44" s="17">
        <v>448.9</v>
      </c>
      <c r="T44" s="17">
        <v>435.3</v>
      </c>
      <c r="U44" s="20">
        <v>435.3</v>
      </c>
      <c r="V44" s="17">
        <v>462.2</v>
      </c>
      <c r="W44" s="17">
        <v>507.1</v>
      </c>
      <c r="X44" s="17">
        <v>456.5</v>
      </c>
      <c r="Y44" s="17">
        <v>441</v>
      </c>
      <c r="Z44" s="20">
        <v>441</v>
      </c>
      <c r="AA44" s="17">
        <v>473.3</v>
      </c>
      <c r="AB44" s="17">
        <v>517.6</v>
      </c>
      <c r="AC44" s="17">
        <v>471.2</v>
      </c>
      <c r="AD44" s="17">
        <v>489</v>
      </c>
      <c r="AE44" s="20">
        <v>489</v>
      </c>
      <c r="AF44" s="17">
        <v>502.5</v>
      </c>
      <c r="AG44" s="17">
        <v>510.4</v>
      </c>
      <c r="AH44" s="17">
        <v>488.9</v>
      </c>
      <c r="AI44" s="17">
        <v>495.9</v>
      </c>
      <c r="AJ44" s="20">
        <v>495.9</v>
      </c>
      <c r="AK44" s="17">
        <v>519.5</v>
      </c>
      <c r="AL44" s="17">
        <v>527.1</v>
      </c>
      <c r="AM44" s="17">
        <v>476.5</v>
      </c>
      <c r="AN44" s="17">
        <v>481.6</v>
      </c>
      <c r="AO44" s="20">
        <v>481.6</v>
      </c>
      <c r="AP44" s="17"/>
      <c r="AQ44" s="17"/>
      <c r="AR44" s="17"/>
      <c r="AS44" s="17"/>
      <c r="AT44" s="20">
        <v>518.70000000000005</v>
      </c>
      <c r="AU44" s="17"/>
      <c r="AV44" s="17"/>
      <c r="AW44" s="17"/>
      <c r="AX44" s="17"/>
      <c r="AY44" s="20">
        <v>547.4</v>
      </c>
      <c r="AZ44" s="17"/>
      <c r="BA44" s="17"/>
      <c r="BB44" s="17"/>
      <c r="BC44" s="17"/>
      <c r="BD44" s="20">
        <v>613.29999999999995</v>
      </c>
      <c r="BE44" s="17"/>
      <c r="BF44" s="17"/>
      <c r="BG44" s="17"/>
      <c r="BH44" s="17"/>
      <c r="BI44" s="20">
        <v>699.5</v>
      </c>
      <c r="BJ44" s="17">
        <v>743.5</v>
      </c>
      <c r="BK44" s="17">
        <v>714</v>
      </c>
      <c r="BL44" s="17">
        <v>687.1</v>
      </c>
      <c r="BM44" s="17">
        <v>675.7</v>
      </c>
      <c r="BN44" s="20">
        <v>675.7</v>
      </c>
      <c r="BO44" s="17">
        <v>692.3</v>
      </c>
      <c r="BP44" s="17">
        <v>610.9</v>
      </c>
      <c r="BQ44" s="17">
        <v>625</v>
      </c>
      <c r="BR44" s="17">
        <v>691.5</v>
      </c>
      <c r="BS44" s="20">
        <v>691.5</v>
      </c>
      <c r="BT44" s="17">
        <v>801.8</v>
      </c>
      <c r="BU44" s="17">
        <v>893</v>
      </c>
      <c r="BV44" s="17">
        <v>970.2</v>
      </c>
      <c r="BW44" s="17">
        <v>993.2</v>
      </c>
      <c r="BX44" s="20">
        <v>993.2</v>
      </c>
      <c r="BY44" s="17">
        <v>1045.8</v>
      </c>
      <c r="BZ44" s="17">
        <v>1026.9000000000001</v>
      </c>
      <c r="CA44" s="17">
        <v>976</v>
      </c>
      <c r="CB44" s="17">
        <v>907.5</v>
      </c>
      <c r="CC44" s="20">
        <v>907.5</v>
      </c>
      <c r="CD44" s="17">
        <v>892.7</v>
      </c>
      <c r="CE44" s="17">
        <v>857.8</v>
      </c>
      <c r="CF44" s="17">
        <v>834.9</v>
      </c>
      <c r="CG44" s="17">
        <v>819.7</v>
      </c>
      <c r="CH44" s="20">
        <v>819.7</v>
      </c>
      <c r="CI44" s="17">
        <v>807.4</v>
      </c>
      <c r="CJ44" s="17">
        <v>755.4</v>
      </c>
      <c r="CK44" s="17">
        <v>754.4</v>
      </c>
      <c r="CL44" s="17">
        <v>722.6</v>
      </c>
      <c r="CM44" s="20">
        <v>722.6</v>
      </c>
      <c r="CN44" s="17">
        <v>678.3</v>
      </c>
      <c r="CO44" s="17">
        <v>648.6</v>
      </c>
      <c r="CP44" s="17">
        <v>634</v>
      </c>
      <c r="CQ44" s="17">
        <v>622.6</v>
      </c>
      <c r="CR44" s="20">
        <v>622.6</v>
      </c>
    </row>
    <row r="45" spans="1:96" x14ac:dyDescent="0.2">
      <c r="A45" s="1" t="s">
        <v>123</v>
      </c>
      <c r="B45" s="26"/>
      <c r="C45" s="26"/>
      <c r="D45" s="26"/>
      <c r="E45" s="26"/>
      <c r="F45" s="21">
        <f>104.6-0.017</f>
        <v>104.583</v>
      </c>
      <c r="G45" s="26">
        <v>96.4</v>
      </c>
      <c r="H45" s="26">
        <v>100.9</v>
      </c>
      <c r="I45" s="26">
        <v>74.3</v>
      </c>
      <c r="J45" s="26">
        <v>65.599999999999994</v>
      </c>
      <c r="K45" s="21">
        <v>65.599999999999994</v>
      </c>
      <c r="L45" s="26">
        <v>69.599999999999994</v>
      </c>
      <c r="M45" s="26">
        <v>68.900000000000006</v>
      </c>
      <c r="N45" s="26">
        <v>64.8</v>
      </c>
      <c r="O45" s="26">
        <v>58.1</v>
      </c>
      <c r="P45" s="21">
        <v>58.1</v>
      </c>
      <c r="Q45" s="26">
        <v>53</v>
      </c>
      <c r="R45" s="26">
        <v>56.1</v>
      </c>
      <c r="S45" s="26">
        <v>36.200000000000003</v>
      </c>
      <c r="T45" s="26">
        <v>60.4</v>
      </c>
      <c r="U45" s="21">
        <v>60.4</v>
      </c>
      <c r="V45" s="26">
        <v>57.2</v>
      </c>
      <c r="W45" s="26">
        <v>39.6</v>
      </c>
      <c r="X45" s="26">
        <v>39.299999999999997</v>
      </c>
      <c r="Y45" s="26">
        <v>43.1</v>
      </c>
      <c r="Z45" s="21">
        <v>43.1</v>
      </c>
      <c r="AA45" s="26">
        <v>44.1</v>
      </c>
      <c r="AB45" s="26">
        <v>53.7</v>
      </c>
      <c r="AC45" s="26">
        <v>52.9</v>
      </c>
      <c r="AD45" s="26">
        <v>44.8</v>
      </c>
      <c r="AE45" s="21">
        <v>44.8</v>
      </c>
      <c r="AF45" s="26">
        <v>44.2</v>
      </c>
      <c r="AG45" s="26">
        <v>43.5</v>
      </c>
      <c r="AH45" s="26">
        <v>45.4</v>
      </c>
      <c r="AI45" s="26">
        <v>45.7</v>
      </c>
      <c r="AJ45" s="21">
        <v>45.7</v>
      </c>
      <c r="AK45" s="26">
        <v>47.8</v>
      </c>
      <c r="AL45" s="26">
        <v>54.8</v>
      </c>
      <c r="AM45" s="26">
        <f>66.6+64.6</f>
        <v>131.19999999999999</v>
      </c>
      <c r="AN45" s="26">
        <f>10.4+81.5</f>
        <v>91.9</v>
      </c>
      <c r="AO45" s="21">
        <f>10.4+81.5</f>
        <v>91.9</v>
      </c>
      <c r="AP45" s="26"/>
      <c r="AQ45" s="26"/>
      <c r="AR45" s="26"/>
      <c r="AS45" s="26"/>
      <c r="AT45" s="21">
        <v>33.200000000000003</v>
      </c>
      <c r="AU45" s="26"/>
      <c r="AV45" s="26"/>
      <c r="AW45" s="26"/>
      <c r="AX45" s="26"/>
      <c r="AY45" s="21">
        <v>36.799999999999997</v>
      </c>
      <c r="AZ45" s="26"/>
      <c r="BA45" s="26"/>
      <c r="BB45" s="26"/>
      <c r="BC45" s="26"/>
      <c r="BD45" s="21">
        <v>74.2</v>
      </c>
      <c r="BE45" s="26"/>
      <c r="BF45" s="26"/>
      <c r="BG45" s="26"/>
      <c r="BH45" s="26"/>
      <c r="BI45" s="21">
        <v>51</v>
      </c>
      <c r="BJ45" s="26">
        <v>53.6</v>
      </c>
      <c r="BK45" s="26">
        <v>56.3</v>
      </c>
      <c r="BL45" s="26">
        <v>49.5</v>
      </c>
      <c r="BM45" s="26">
        <v>61.9</v>
      </c>
      <c r="BN45" s="21">
        <v>61.9</v>
      </c>
      <c r="BO45" s="26">
        <v>52.5</v>
      </c>
      <c r="BP45" s="26">
        <v>50.1</v>
      </c>
      <c r="BQ45" s="26">
        <v>45.7</v>
      </c>
      <c r="BR45" s="26">
        <v>54.1</v>
      </c>
      <c r="BS45" s="21">
        <v>54.1</v>
      </c>
      <c r="BT45" s="26">
        <v>50.5</v>
      </c>
      <c r="BU45" s="26">
        <v>65.400000000000006</v>
      </c>
      <c r="BV45" s="26">
        <v>79.599999999999994</v>
      </c>
      <c r="BW45" s="26">
        <v>58.9</v>
      </c>
      <c r="BX45" s="21">
        <v>58.9</v>
      </c>
      <c r="BY45" s="26">
        <v>60</v>
      </c>
      <c r="BZ45" s="26">
        <v>72.400000000000006</v>
      </c>
      <c r="CA45" s="26">
        <v>68.5</v>
      </c>
      <c r="CB45" s="26">
        <v>59</v>
      </c>
      <c r="CC45" s="21">
        <v>59</v>
      </c>
      <c r="CD45" s="26">
        <v>59.4</v>
      </c>
      <c r="CE45" s="26">
        <v>72.900000000000006</v>
      </c>
      <c r="CF45" s="26">
        <v>66.099999999999994</v>
      </c>
      <c r="CG45" s="26">
        <v>58.9</v>
      </c>
      <c r="CH45" s="21">
        <v>58.9</v>
      </c>
      <c r="CI45" s="26">
        <v>56.5</v>
      </c>
      <c r="CJ45" s="26">
        <v>77.5</v>
      </c>
      <c r="CK45" s="26">
        <v>64.8</v>
      </c>
      <c r="CL45" s="26">
        <v>58.3</v>
      </c>
      <c r="CM45" s="21">
        <v>58.3</v>
      </c>
      <c r="CN45" s="26">
        <v>135.1</v>
      </c>
      <c r="CO45" s="26">
        <v>148.1</v>
      </c>
      <c r="CP45" s="26">
        <v>45.7</v>
      </c>
      <c r="CQ45" s="26">
        <v>57.7</v>
      </c>
      <c r="CR45" s="21">
        <v>57.7</v>
      </c>
    </row>
    <row r="46" spans="1:96" x14ac:dyDescent="0.2">
      <c r="A46" s="6" t="s">
        <v>124</v>
      </c>
      <c r="B46" s="17"/>
      <c r="C46" s="17"/>
      <c r="D46" s="17"/>
      <c r="E46" s="17"/>
      <c r="F46" s="20">
        <f t="shared" ref="F46:K46" si="218">SUM(F42:F45)</f>
        <v>1531.3830000000003</v>
      </c>
      <c r="G46" s="17">
        <f t="shared" si="218"/>
        <v>1550.1000000000001</v>
      </c>
      <c r="H46" s="17">
        <f t="shared" si="218"/>
        <v>1656.8000000000002</v>
      </c>
      <c r="I46" s="17">
        <f t="shared" si="218"/>
        <v>1651.4999999999998</v>
      </c>
      <c r="J46" s="17">
        <f t="shared" si="218"/>
        <v>1275.8</v>
      </c>
      <c r="K46" s="20">
        <f t="shared" si="218"/>
        <v>1275.8</v>
      </c>
      <c r="L46" s="17">
        <f t="shared" ref="L46:AT46" si="219">SUM(L42:L45)</f>
        <v>1175.5</v>
      </c>
      <c r="M46" s="17">
        <f t="shared" si="219"/>
        <v>1194.9000000000001</v>
      </c>
      <c r="N46" s="17">
        <f t="shared" si="219"/>
        <v>1232.3999999999999</v>
      </c>
      <c r="O46" s="17">
        <f t="shared" si="219"/>
        <v>1197.1999999999998</v>
      </c>
      <c r="P46" s="20">
        <f t="shared" si="219"/>
        <v>1197.1999999999998</v>
      </c>
      <c r="Q46" s="17">
        <f t="shared" si="219"/>
        <v>1262.6999999999998</v>
      </c>
      <c r="R46" s="17">
        <f t="shared" si="219"/>
        <v>1288.3</v>
      </c>
      <c r="S46" s="17">
        <f t="shared" si="219"/>
        <v>1308.3999999999999</v>
      </c>
      <c r="T46" s="17">
        <f t="shared" si="219"/>
        <v>1219.1000000000001</v>
      </c>
      <c r="U46" s="20">
        <f t="shared" si="219"/>
        <v>1219.1000000000001</v>
      </c>
      <c r="V46" s="17">
        <f t="shared" si="219"/>
        <v>1290.4000000000001</v>
      </c>
      <c r="W46" s="17">
        <f t="shared" si="219"/>
        <v>1317.9</v>
      </c>
      <c r="X46" s="17">
        <f t="shared" si="219"/>
        <v>1291.3</v>
      </c>
      <c r="Y46" s="17">
        <f t="shared" si="219"/>
        <v>1224</v>
      </c>
      <c r="Z46" s="20">
        <f t="shared" si="219"/>
        <v>1224</v>
      </c>
      <c r="AA46" s="17">
        <f t="shared" si="219"/>
        <v>1350.1999999999998</v>
      </c>
      <c r="AB46" s="17">
        <f t="shared" si="219"/>
        <v>1400.1000000000001</v>
      </c>
      <c r="AC46" s="17">
        <f t="shared" si="219"/>
        <v>1378.7</v>
      </c>
      <c r="AD46" s="17">
        <f t="shared" si="219"/>
        <v>1339.1</v>
      </c>
      <c r="AE46" s="20">
        <f t="shared" si="219"/>
        <v>1339.1</v>
      </c>
      <c r="AF46" s="17">
        <f t="shared" si="219"/>
        <v>1524.7</v>
      </c>
      <c r="AG46" s="17">
        <f t="shared" si="219"/>
        <v>1387.1999999999998</v>
      </c>
      <c r="AH46" s="17">
        <f t="shared" si="219"/>
        <v>1407.9</v>
      </c>
      <c r="AI46" s="17">
        <f t="shared" si="219"/>
        <v>1281.7</v>
      </c>
      <c r="AJ46" s="20">
        <f t="shared" si="219"/>
        <v>1281.7</v>
      </c>
      <c r="AK46" s="17">
        <f t="shared" si="219"/>
        <v>1409.8</v>
      </c>
      <c r="AL46" s="17">
        <f t="shared" si="219"/>
        <v>1489.4999999999998</v>
      </c>
      <c r="AM46" s="17">
        <f t="shared" si="219"/>
        <v>1435</v>
      </c>
      <c r="AN46" s="17">
        <f t="shared" si="219"/>
        <v>1429.6</v>
      </c>
      <c r="AO46" s="20">
        <f t="shared" si="219"/>
        <v>1429.5</v>
      </c>
      <c r="AP46" s="17"/>
      <c r="AQ46" s="17"/>
      <c r="AR46" s="17"/>
      <c r="AS46" s="17"/>
      <c r="AT46" s="20">
        <f t="shared" si="219"/>
        <v>1325.3000000000002</v>
      </c>
      <c r="AU46" s="17"/>
      <c r="AV46" s="17"/>
      <c r="AW46" s="17"/>
      <c r="AX46" s="17"/>
      <c r="AY46" s="20">
        <f t="shared" ref="AY46" si="220">SUM(AY42:AY45)</f>
        <v>1352.7</v>
      </c>
      <c r="AZ46" s="17"/>
      <c r="BA46" s="17"/>
      <c r="BB46" s="17"/>
      <c r="BC46" s="17"/>
      <c r="BD46" s="20">
        <f>SUM(BD42:BD45)</f>
        <v>1808.7</v>
      </c>
      <c r="BE46" s="51"/>
      <c r="BF46" s="17"/>
      <c r="BG46" s="17"/>
      <c r="BH46" s="17"/>
      <c r="BI46" s="20">
        <f>SUM(BI42:BI45)</f>
        <v>1590.2</v>
      </c>
      <c r="BJ46" s="17">
        <f t="shared" ref="BJ46:BW46" si="221">SUM(BJ42:BJ45)</f>
        <v>1725.6999999999998</v>
      </c>
      <c r="BK46" s="17">
        <f t="shared" si="221"/>
        <v>1760.3</v>
      </c>
      <c r="BL46" s="17">
        <f t="shared" si="221"/>
        <v>1655.9</v>
      </c>
      <c r="BM46" s="17">
        <f t="shared" si="221"/>
        <v>1577.1000000000001</v>
      </c>
      <c r="BN46" s="20">
        <f t="shared" si="221"/>
        <v>1577.1000000000001</v>
      </c>
      <c r="BO46" s="17">
        <f t="shared" si="221"/>
        <v>1818.8</v>
      </c>
      <c r="BP46" s="17">
        <f t="shared" si="221"/>
        <v>1447.1</v>
      </c>
      <c r="BQ46" s="17">
        <f t="shared" si="221"/>
        <v>1558</v>
      </c>
      <c r="BR46" s="17">
        <f t="shared" si="221"/>
        <v>1658.1</v>
      </c>
      <c r="BS46" s="20">
        <f t="shared" si="221"/>
        <v>1658.1</v>
      </c>
      <c r="BT46" s="17">
        <f t="shared" si="221"/>
        <v>1789</v>
      </c>
      <c r="BU46" s="17">
        <f t="shared" si="221"/>
        <v>1894.8000000000002</v>
      </c>
      <c r="BV46" s="17">
        <f t="shared" si="221"/>
        <v>1983.6</v>
      </c>
      <c r="BW46" s="17">
        <f t="shared" si="221"/>
        <v>2065.3000000000002</v>
      </c>
      <c r="BX46" s="20">
        <f t="shared" ref="BX46:CB46" si="222">SUM(BX42:BX45)</f>
        <v>2065.3000000000002</v>
      </c>
      <c r="BY46" s="17">
        <f t="shared" si="222"/>
        <v>2138</v>
      </c>
      <c r="BZ46" s="17">
        <f t="shared" si="222"/>
        <v>2091.8000000000002</v>
      </c>
      <c r="CA46" s="17">
        <f t="shared" si="222"/>
        <v>2001</v>
      </c>
      <c r="CB46" s="17">
        <f t="shared" si="222"/>
        <v>1958</v>
      </c>
      <c r="CC46" s="20">
        <f t="shared" ref="CC46:CM46" si="223">SUM(CC42:CC45)</f>
        <v>1958</v>
      </c>
      <c r="CD46" s="17">
        <f t="shared" si="223"/>
        <v>2014.8000000000002</v>
      </c>
      <c r="CE46" s="17">
        <f t="shared" si="223"/>
        <v>1905.8000000000002</v>
      </c>
      <c r="CF46" s="17">
        <f t="shared" si="223"/>
        <v>1886.1999999999998</v>
      </c>
      <c r="CG46" s="17">
        <f t="shared" si="223"/>
        <v>1881.4</v>
      </c>
      <c r="CH46" s="20">
        <f t="shared" si="223"/>
        <v>1881.4</v>
      </c>
      <c r="CI46" s="17">
        <f t="shared" si="223"/>
        <v>1860.3000000000002</v>
      </c>
      <c r="CJ46" s="17">
        <f t="shared" si="223"/>
        <v>1788.6</v>
      </c>
      <c r="CK46" s="17">
        <f t="shared" si="223"/>
        <v>1734.4999999999998</v>
      </c>
      <c r="CL46" s="17">
        <f t="shared" si="223"/>
        <v>1690.4999999999998</v>
      </c>
      <c r="CM46" s="20">
        <f t="shared" si="223"/>
        <v>1690.4999999999998</v>
      </c>
      <c r="CN46" s="17">
        <f t="shared" ref="CN46:CR46" si="224">SUM(CN42:CN45)</f>
        <v>1784.1</v>
      </c>
      <c r="CO46" s="17">
        <f t="shared" si="224"/>
        <v>1742.6999999999998</v>
      </c>
      <c r="CP46" s="17">
        <f t="shared" si="224"/>
        <v>1708.8</v>
      </c>
      <c r="CQ46" s="17">
        <f t="shared" si="224"/>
        <v>1743.6000000000001</v>
      </c>
      <c r="CR46" s="20">
        <f t="shared" si="224"/>
        <v>1743.6000000000001</v>
      </c>
    </row>
    <row r="47" spans="1:96" x14ac:dyDescent="0.2">
      <c r="A47" s="1" t="s">
        <v>125</v>
      </c>
      <c r="B47" s="17"/>
      <c r="C47" s="17"/>
      <c r="D47" s="17"/>
      <c r="E47" s="17"/>
      <c r="F47" s="20">
        <f>726.9+0.2</f>
        <v>727.1</v>
      </c>
      <c r="G47" s="17">
        <v>736.4</v>
      </c>
      <c r="H47" s="17">
        <v>739.6</v>
      </c>
      <c r="I47" s="17">
        <v>722.4</v>
      </c>
      <c r="J47" s="17">
        <v>681.4</v>
      </c>
      <c r="K47" s="20">
        <v>681.4</v>
      </c>
      <c r="L47" s="17">
        <v>671.4</v>
      </c>
      <c r="M47" s="17">
        <v>685.6</v>
      </c>
      <c r="N47" s="17">
        <v>664</v>
      </c>
      <c r="O47" s="17">
        <v>668.6</v>
      </c>
      <c r="P47" s="20">
        <v>668.6</v>
      </c>
      <c r="Q47" s="17">
        <v>641.4</v>
      </c>
      <c r="R47" s="17">
        <v>624.6</v>
      </c>
      <c r="S47" s="17">
        <v>621.29999999999995</v>
      </c>
      <c r="T47" s="17">
        <v>624.20000000000005</v>
      </c>
      <c r="U47" s="20">
        <v>624.20000000000005</v>
      </c>
      <c r="V47" s="17">
        <v>616.1</v>
      </c>
      <c r="W47" s="17">
        <v>618</v>
      </c>
      <c r="X47" s="17">
        <v>600.9</v>
      </c>
      <c r="Y47" s="17">
        <v>580.6</v>
      </c>
      <c r="Z47" s="20">
        <v>580.6</v>
      </c>
      <c r="AA47" s="17">
        <v>592.4</v>
      </c>
      <c r="AB47" s="17">
        <v>581.1</v>
      </c>
      <c r="AC47" s="17">
        <v>575.4</v>
      </c>
      <c r="AD47" s="17">
        <v>572.79999999999995</v>
      </c>
      <c r="AE47" s="20">
        <v>572.79999999999995</v>
      </c>
      <c r="AF47" s="17">
        <v>566.79999999999995</v>
      </c>
      <c r="AG47" s="17">
        <v>562.1</v>
      </c>
      <c r="AH47" s="17">
        <v>579.9</v>
      </c>
      <c r="AI47" s="17">
        <v>574.6</v>
      </c>
      <c r="AJ47" s="20">
        <v>574.6</v>
      </c>
      <c r="AK47" s="17">
        <v>564.29999999999995</v>
      </c>
      <c r="AL47" s="17">
        <v>582.6</v>
      </c>
      <c r="AM47" s="17">
        <v>546.6</v>
      </c>
      <c r="AN47" s="17">
        <v>558.9</v>
      </c>
      <c r="AO47" s="20">
        <v>558.9</v>
      </c>
      <c r="AP47" s="17"/>
      <c r="AQ47" s="17"/>
      <c r="AR47" s="17"/>
      <c r="AS47" s="17"/>
      <c r="AT47" s="20">
        <v>540.79999999999995</v>
      </c>
      <c r="AU47" s="17"/>
      <c r="AV47" s="17"/>
      <c r="AW47" s="17"/>
      <c r="AX47" s="17"/>
      <c r="AY47" s="20">
        <v>565.5</v>
      </c>
      <c r="AZ47" s="17"/>
      <c r="BA47" s="17"/>
      <c r="BB47" s="17"/>
      <c r="BC47" s="17"/>
      <c r="BD47" s="20">
        <v>663.9</v>
      </c>
      <c r="BE47" s="17"/>
      <c r="BF47" s="17"/>
      <c r="BG47" s="17"/>
      <c r="BH47" s="17"/>
      <c r="BI47" s="20">
        <v>728.5</v>
      </c>
      <c r="BJ47" s="17">
        <v>810.3</v>
      </c>
      <c r="BK47" s="17">
        <v>817.9</v>
      </c>
      <c r="BL47" s="17">
        <v>817.3</v>
      </c>
      <c r="BM47" s="17">
        <v>830.8</v>
      </c>
      <c r="BN47" s="20">
        <v>830.8</v>
      </c>
      <c r="BO47" s="17">
        <v>809.5</v>
      </c>
      <c r="BP47" s="17">
        <v>797.4</v>
      </c>
      <c r="BQ47" s="17">
        <v>785.7</v>
      </c>
      <c r="BR47" s="17">
        <v>784.8</v>
      </c>
      <c r="BS47" s="20">
        <v>784.8</v>
      </c>
      <c r="BT47" s="17">
        <v>775.3</v>
      </c>
      <c r="BU47" s="17">
        <v>785.9</v>
      </c>
      <c r="BV47" s="17">
        <v>780.3</v>
      </c>
      <c r="BW47" s="17">
        <v>781.5</v>
      </c>
      <c r="BX47" s="20">
        <v>781.5</v>
      </c>
      <c r="BY47" s="17">
        <v>768.6</v>
      </c>
      <c r="BZ47" s="17">
        <v>750.4</v>
      </c>
      <c r="CA47" s="17">
        <v>741.2</v>
      </c>
      <c r="CB47" s="17">
        <v>772.4</v>
      </c>
      <c r="CC47" s="20">
        <v>772.4</v>
      </c>
      <c r="CD47" s="17">
        <v>786.6</v>
      </c>
      <c r="CE47" s="17">
        <v>789.2</v>
      </c>
      <c r="CF47" s="17">
        <v>776.7</v>
      </c>
      <c r="CG47" s="17">
        <v>781.2</v>
      </c>
      <c r="CH47" s="20">
        <v>781.2</v>
      </c>
      <c r="CI47" s="17">
        <v>772.1</v>
      </c>
      <c r="CJ47" s="17">
        <v>756.6</v>
      </c>
      <c r="CK47" s="17">
        <v>748.9</v>
      </c>
      <c r="CL47" s="17">
        <v>724.4</v>
      </c>
      <c r="CM47" s="20">
        <v>724.4</v>
      </c>
      <c r="CN47" s="17">
        <v>692.1</v>
      </c>
      <c r="CO47" s="17">
        <v>686.4</v>
      </c>
      <c r="CP47" s="17">
        <v>673.2</v>
      </c>
      <c r="CQ47" s="17">
        <v>664</v>
      </c>
      <c r="CR47" s="20">
        <v>664</v>
      </c>
    </row>
    <row r="48" spans="1:96" x14ac:dyDescent="0.2">
      <c r="A48" s="1" t="s">
        <v>126</v>
      </c>
      <c r="B48" s="26"/>
      <c r="C48" s="26"/>
      <c r="D48" s="26"/>
      <c r="E48" s="26"/>
      <c r="F48" s="21">
        <f>1511.2-269.5-4.3</f>
        <v>1237.4000000000001</v>
      </c>
      <c r="G48" s="26">
        <v>1239.2</v>
      </c>
      <c r="H48" s="26">
        <v>1256.9000000000001</v>
      </c>
      <c r="I48" s="26">
        <v>1249.8</v>
      </c>
      <c r="J48" s="26">
        <v>1143.5</v>
      </c>
      <c r="K48" s="21">
        <v>1143.5</v>
      </c>
      <c r="L48" s="26">
        <v>1118.0999999999999</v>
      </c>
      <c r="M48" s="26">
        <v>1131.2</v>
      </c>
      <c r="N48" s="26">
        <v>1138.3</v>
      </c>
      <c r="O48" s="26">
        <v>1151.8</v>
      </c>
      <c r="P48" s="21">
        <v>1151.8</v>
      </c>
      <c r="Q48" s="26">
        <v>1142.5</v>
      </c>
      <c r="R48" s="26">
        <v>1120.4000000000001</v>
      </c>
      <c r="S48" s="26">
        <v>1124.9000000000001</v>
      </c>
      <c r="T48" s="26">
        <f>1132.8+24.9</f>
        <v>1157.7</v>
      </c>
      <c r="U48" s="21">
        <f>1132.8+24.9</f>
        <v>1157.7</v>
      </c>
      <c r="V48" s="26">
        <v>1160.4000000000001</v>
      </c>
      <c r="W48" s="26">
        <f>1138.9+19.9</f>
        <v>1158.8000000000002</v>
      </c>
      <c r="X48" s="26">
        <f>1110.8+19.3</f>
        <v>1130.0999999999999</v>
      </c>
      <c r="Y48" s="26">
        <f>1090.9+19.6</f>
        <v>1110.5</v>
      </c>
      <c r="Z48" s="21">
        <f>1090.9+19.6</f>
        <v>1110.5</v>
      </c>
      <c r="AA48" s="26">
        <f>1250.1+20</f>
        <v>1270.0999999999999</v>
      </c>
      <c r="AB48" s="26">
        <f>1239.4+19.5</f>
        <v>1258.9000000000001</v>
      </c>
      <c r="AC48" s="26">
        <f>1271.3+20.5</f>
        <v>1291.8</v>
      </c>
      <c r="AD48" s="26">
        <f>21.8+1321.2</f>
        <v>1343</v>
      </c>
      <c r="AE48" s="21">
        <f>21.8+1321.2</f>
        <v>1343</v>
      </c>
      <c r="AF48" s="26">
        <f>1316.1+20.3</f>
        <v>1336.3999999999999</v>
      </c>
      <c r="AG48" s="26">
        <f>1311.7+17.7</f>
        <v>1329.4</v>
      </c>
      <c r="AH48" s="26">
        <f>1300.4+16.9</f>
        <v>1317.3000000000002</v>
      </c>
      <c r="AI48" s="26">
        <f>19.1+1232.7</f>
        <v>1251.8</v>
      </c>
      <c r="AJ48" s="21">
        <f>19.1+1232.7</f>
        <v>1251.8</v>
      </c>
      <c r="AK48" s="26">
        <f>1228+19.4</f>
        <v>1247.4000000000001</v>
      </c>
      <c r="AL48" s="26">
        <f>17.8+1153.5</f>
        <v>1171.3</v>
      </c>
      <c r="AM48" s="26">
        <f>1153.4+49.7</f>
        <v>1203.1000000000001</v>
      </c>
      <c r="AN48" s="26">
        <f>22.4+1129.7</f>
        <v>1152.1000000000001</v>
      </c>
      <c r="AO48" s="21">
        <f>22.4+1129.7</f>
        <v>1152.1000000000001</v>
      </c>
      <c r="AP48" s="26"/>
      <c r="AQ48" s="26"/>
      <c r="AR48" s="26"/>
      <c r="AS48" s="26"/>
      <c r="AT48" s="21">
        <v>1111.7</v>
      </c>
      <c r="AU48" s="26"/>
      <c r="AV48" s="26"/>
      <c r="AW48" s="26"/>
      <c r="AX48" s="26"/>
      <c r="AY48" s="21">
        <f>11+1083</f>
        <v>1094</v>
      </c>
      <c r="AZ48" s="26"/>
      <c r="BA48" s="26"/>
      <c r="BB48" s="26"/>
      <c r="BC48" s="26"/>
      <c r="BD48" s="21">
        <v>1120.4000000000001</v>
      </c>
      <c r="BE48" s="26"/>
      <c r="BF48" s="26"/>
      <c r="BG48" s="26"/>
      <c r="BH48" s="26"/>
      <c r="BI48" s="21">
        <v>1128.9000000000001</v>
      </c>
      <c r="BJ48" s="26">
        <v>2484.5</v>
      </c>
      <c r="BK48" s="26">
        <v>2481.1000000000004</v>
      </c>
      <c r="BL48" s="26">
        <v>2435.9</v>
      </c>
      <c r="BM48" s="26">
        <v>2447.5</v>
      </c>
      <c r="BN48" s="21">
        <v>2447.5</v>
      </c>
      <c r="BO48" s="26">
        <v>2390.5</v>
      </c>
      <c r="BP48" s="26">
        <v>2374.4</v>
      </c>
      <c r="BQ48" s="26">
        <v>2359.8000000000002</v>
      </c>
      <c r="BR48" s="26">
        <v>2357.1</v>
      </c>
      <c r="BS48" s="21">
        <v>2357.1</v>
      </c>
      <c r="BT48" s="26">
        <v>2347.3000000000002</v>
      </c>
      <c r="BU48" s="26">
        <v>2469.4</v>
      </c>
      <c r="BV48" s="26">
        <v>2471.1999999999998</v>
      </c>
      <c r="BW48" s="26">
        <v>2460.5</v>
      </c>
      <c r="BX48" s="21">
        <v>2460.5</v>
      </c>
      <c r="BY48" s="26">
        <v>2435.1999999999998</v>
      </c>
      <c r="BZ48" s="26">
        <v>2388.4</v>
      </c>
      <c r="CA48" s="26">
        <v>2433</v>
      </c>
      <c r="CB48" s="26">
        <v>2455.6999999999998</v>
      </c>
      <c r="CC48" s="21">
        <v>2455.6999999999998</v>
      </c>
      <c r="CD48" s="26">
        <v>2468.6</v>
      </c>
      <c r="CE48" s="26">
        <v>2449.3000000000002</v>
      </c>
      <c r="CF48" s="26">
        <v>2414.6999999999998</v>
      </c>
      <c r="CG48" s="26">
        <v>1971.9</v>
      </c>
      <c r="CH48" s="21">
        <v>1971.9</v>
      </c>
      <c r="CI48" s="26">
        <v>1982.4</v>
      </c>
      <c r="CJ48" s="26">
        <v>1293.5999999999999</v>
      </c>
      <c r="CK48" s="26">
        <v>1296.7</v>
      </c>
      <c r="CL48" s="26">
        <v>1246.7</v>
      </c>
      <c r="CM48" s="21">
        <v>1246.7</v>
      </c>
      <c r="CN48" s="26">
        <v>1272.7</v>
      </c>
      <c r="CO48" s="26">
        <v>1274.5999999999999</v>
      </c>
      <c r="CP48" s="26">
        <v>1143</v>
      </c>
      <c r="CQ48" s="26">
        <v>1128.8</v>
      </c>
      <c r="CR48" s="21">
        <v>1128.8</v>
      </c>
    </row>
    <row r="49" spans="1:96" x14ac:dyDescent="0.2">
      <c r="A49" s="6" t="s">
        <v>127</v>
      </c>
      <c r="B49" s="18"/>
      <c r="C49" s="18"/>
      <c r="D49" s="18"/>
      <c r="E49" s="18"/>
      <c r="F49" s="22">
        <f t="shared" ref="F49:K49" si="225">SUM(F46:F48)</f>
        <v>3495.8830000000003</v>
      </c>
      <c r="G49" s="18">
        <f t="shared" si="225"/>
        <v>3525.7</v>
      </c>
      <c r="H49" s="18">
        <f t="shared" si="225"/>
        <v>3653.3</v>
      </c>
      <c r="I49" s="18">
        <f t="shared" si="225"/>
        <v>3623.7</v>
      </c>
      <c r="J49" s="18">
        <f t="shared" si="225"/>
        <v>3100.7</v>
      </c>
      <c r="K49" s="22">
        <f t="shared" si="225"/>
        <v>3100.7</v>
      </c>
      <c r="L49" s="18">
        <f t="shared" ref="L49:AT49" si="226">SUM(L46:L48)</f>
        <v>2965</v>
      </c>
      <c r="M49" s="18">
        <f t="shared" si="226"/>
        <v>3011.7</v>
      </c>
      <c r="N49" s="18">
        <f t="shared" si="226"/>
        <v>3034.7</v>
      </c>
      <c r="O49" s="18">
        <f t="shared" si="226"/>
        <v>3017.5999999999995</v>
      </c>
      <c r="P49" s="22">
        <f t="shared" si="226"/>
        <v>3017.5999999999995</v>
      </c>
      <c r="Q49" s="18">
        <f t="shared" si="226"/>
        <v>3046.6</v>
      </c>
      <c r="R49" s="18">
        <f t="shared" si="226"/>
        <v>3033.3</v>
      </c>
      <c r="S49" s="18">
        <f t="shared" si="226"/>
        <v>3054.6</v>
      </c>
      <c r="T49" s="18">
        <f t="shared" si="226"/>
        <v>3001</v>
      </c>
      <c r="U49" s="22">
        <f t="shared" si="226"/>
        <v>3001</v>
      </c>
      <c r="V49" s="18">
        <f t="shared" si="226"/>
        <v>3066.9</v>
      </c>
      <c r="W49" s="18">
        <f t="shared" si="226"/>
        <v>3094.7000000000003</v>
      </c>
      <c r="X49" s="18">
        <f t="shared" si="226"/>
        <v>3022.2999999999997</v>
      </c>
      <c r="Y49" s="18">
        <f t="shared" si="226"/>
        <v>2915.1</v>
      </c>
      <c r="Z49" s="22">
        <f t="shared" si="226"/>
        <v>2915.1</v>
      </c>
      <c r="AA49" s="18">
        <f t="shared" si="226"/>
        <v>3212.7</v>
      </c>
      <c r="AB49" s="18">
        <f t="shared" si="226"/>
        <v>3240.1000000000004</v>
      </c>
      <c r="AC49" s="18">
        <f t="shared" si="226"/>
        <v>3245.8999999999996</v>
      </c>
      <c r="AD49" s="18">
        <f t="shared" si="226"/>
        <v>3254.8999999999996</v>
      </c>
      <c r="AE49" s="22">
        <f t="shared" si="226"/>
        <v>3254.8999999999996</v>
      </c>
      <c r="AF49" s="18">
        <f t="shared" si="226"/>
        <v>3427.8999999999996</v>
      </c>
      <c r="AG49" s="18">
        <f t="shared" si="226"/>
        <v>3278.7</v>
      </c>
      <c r="AH49" s="18">
        <f t="shared" si="226"/>
        <v>3305.1000000000004</v>
      </c>
      <c r="AI49" s="18">
        <f t="shared" si="226"/>
        <v>3108.1000000000004</v>
      </c>
      <c r="AJ49" s="22">
        <f t="shared" si="226"/>
        <v>3108.1000000000004</v>
      </c>
      <c r="AK49" s="18">
        <f t="shared" si="226"/>
        <v>3221.5</v>
      </c>
      <c r="AL49" s="18">
        <f t="shared" si="226"/>
        <v>3243.3999999999996</v>
      </c>
      <c r="AM49" s="18">
        <f t="shared" si="226"/>
        <v>3184.7</v>
      </c>
      <c r="AN49" s="18">
        <f t="shared" si="226"/>
        <v>3140.6000000000004</v>
      </c>
      <c r="AO49" s="22">
        <f t="shared" si="226"/>
        <v>3140.5</v>
      </c>
      <c r="AP49" s="18"/>
      <c r="AQ49" s="18"/>
      <c r="AR49" s="18"/>
      <c r="AS49" s="18"/>
      <c r="AT49" s="22">
        <f t="shared" si="226"/>
        <v>2977.8</v>
      </c>
      <c r="AU49" s="18"/>
      <c r="AV49" s="18"/>
      <c r="AW49" s="18"/>
      <c r="AX49" s="18"/>
      <c r="AY49" s="22">
        <f t="shared" ref="AY49" si="227">SUM(AY46:AY48)</f>
        <v>3012.2</v>
      </c>
      <c r="AZ49" s="18"/>
      <c r="BA49" s="18"/>
      <c r="BB49" s="18"/>
      <c r="BC49" s="18"/>
      <c r="BD49" s="22">
        <f>SUM(BD46:BD48)</f>
        <v>3593</v>
      </c>
      <c r="BE49" s="52"/>
      <c r="BF49" s="18"/>
      <c r="BG49" s="18"/>
      <c r="BH49" s="18"/>
      <c r="BI49" s="22">
        <f t="shared" ref="BI49:BW49" si="228">SUM(BI46:BI48)</f>
        <v>3447.6</v>
      </c>
      <c r="BJ49" s="18">
        <f t="shared" si="228"/>
        <v>5020.5</v>
      </c>
      <c r="BK49" s="18">
        <f t="shared" si="228"/>
        <v>5059.3</v>
      </c>
      <c r="BL49" s="18">
        <f t="shared" si="228"/>
        <v>4909.1000000000004</v>
      </c>
      <c r="BM49" s="18">
        <f t="shared" si="228"/>
        <v>4855.3999999999996</v>
      </c>
      <c r="BN49" s="22">
        <f t="shared" si="228"/>
        <v>4855.3999999999996</v>
      </c>
      <c r="BO49" s="18">
        <f t="shared" si="228"/>
        <v>5018.8</v>
      </c>
      <c r="BP49" s="18">
        <f t="shared" si="228"/>
        <v>4618.8999999999996</v>
      </c>
      <c r="BQ49" s="18">
        <f t="shared" si="228"/>
        <v>4703.5</v>
      </c>
      <c r="BR49" s="18">
        <f t="shared" si="228"/>
        <v>4800</v>
      </c>
      <c r="BS49" s="22">
        <f t="shared" si="228"/>
        <v>4800</v>
      </c>
      <c r="BT49" s="18">
        <f t="shared" si="228"/>
        <v>4911.6000000000004</v>
      </c>
      <c r="BU49" s="18">
        <f t="shared" si="228"/>
        <v>5150.1000000000004</v>
      </c>
      <c r="BV49" s="18">
        <f t="shared" si="228"/>
        <v>5235.0999999999995</v>
      </c>
      <c r="BW49" s="18">
        <f t="shared" si="228"/>
        <v>5307.3</v>
      </c>
      <c r="BX49" s="22">
        <f t="shared" ref="BX49:CB49" si="229">SUM(BX46:BX48)</f>
        <v>5307.3</v>
      </c>
      <c r="BY49" s="18">
        <f t="shared" si="229"/>
        <v>5341.7999999999993</v>
      </c>
      <c r="BZ49" s="18">
        <f t="shared" si="229"/>
        <v>5230.6000000000004</v>
      </c>
      <c r="CA49" s="18">
        <f t="shared" si="229"/>
        <v>5175.2</v>
      </c>
      <c r="CB49" s="18">
        <f t="shared" si="229"/>
        <v>5186.1000000000004</v>
      </c>
      <c r="CC49" s="22">
        <f t="shared" ref="CC49:CM49" si="230">SUM(CC46:CC48)</f>
        <v>5186.1000000000004</v>
      </c>
      <c r="CD49" s="18">
        <f t="shared" si="230"/>
        <v>5270</v>
      </c>
      <c r="CE49" s="18">
        <f t="shared" si="230"/>
        <v>5144.3</v>
      </c>
      <c r="CF49" s="18">
        <f t="shared" si="230"/>
        <v>5077.5999999999995</v>
      </c>
      <c r="CG49" s="18">
        <f t="shared" si="230"/>
        <v>4634.5</v>
      </c>
      <c r="CH49" s="22">
        <f t="shared" si="230"/>
        <v>4634.5</v>
      </c>
      <c r="CI49" s="18">
        <f t="shared" si="230"/>
        <v>4614.8</v>
      </c>
      <c r="CJ49" s="18">
        <f t="shared" si="230"/>
        <v>3838.7999999999997</v>
      </c>
      <c r="CK49" s="18">
        <f t="shared" si="230"/>
        <v>3780.0999999999995</v>
      </c>
      <c r="CL49" s="18">
        <f t="shared" si="230"/>
        <v>3661.5999999999995</v>
      </c>
      <c r="CM49" s="22">
        <f t="shared" si="230"/>
        <v>3661.5999999999995</v>
      </c>
      <c r="CN49" s="18">
        <f t="shared" ref="CN49:CR49" si="231">SUM(CN46:CN48)</f>
        <v>3748.8999999999996</v>
      </c>
      <c r="CO49" s="18">
        <f t="shared" si="231"/>
        <v>3703.7</v>
      </c>
      <c r="CP49" s="18">
        <f t="shared" si="231"/>
        <v>3525</v>
      </c>
      <c r="CQ49" s="18">
        <f t="shared" si="231"/>
        <v>3536.4000000000005</v>
      </c>
      <c r="CR49" s="22">
        <f t="shared" si="231"/>
        <v>3536.4000000000005</v>
      </c>
    </row>
    <row r="50" spans="1:96" ht="6" customHeight="1" x14ac:dyDescent="0.2">
      <c r="A50" s="6"/>
      <c r="B50" s="18"/>
      <c r="C50" s="18"/>
      <c r="D50" s="18"/>
      <c r="E50" s="18"/>
      <c r="F50" s="22"/>
      <c r="G50" s="18"/>
      <c r="H50" s="18"/>
      <c r="I50" s="18"/>
      <c r="J50" s="18"/>
      <c r="K50" s="22"/>
      <c r="L50" s="18"/>
      <c r="M50" s="18"/>
      <c r="N50" s="18"/>
      <c r="O50" s="18"/>
      <c r="P50" s="22"/>
      <c r="Q50" s="18"/>
      <c r="R50" s="18"/>
      <c r="S50" s="18"/>
      <c r="T50" s="18"/>
      <c r="U50" s="22"/>
      <c r="V50" s="18"/>
      <c r="W50" s="18"/>
      <c r="X50" s="18"/>
      <c r="Y50" s="18"/>
      <c r="Z50" s="22"/>
      <c r="AA50" s="18"/>
      <c r="AB50" s="18"/>
      <c r="AC50" s="18"/>
      <c r="AD50" s="18"/>
      <c r="AE50" s="22"/>
      <c r="AF50" s="18"/>
      <c r="AG50" s="18"/>
      <c r="AH50" s="18"/>
      <c r="AI50" s="18"/>
      <c r="AJ50" s="22"/>
      <c r="AK50" s="18"/>
      <c r="AL50" s="18"/>
      <c r="AM50" s="18"/>
      <c r="AN50" s="18"/>
      <c r="AO50" s="22"/>
      <c r="AP50" s="18"/>
      <c r="AQ50" s="18"/>
      <c r="AR50" s="18"/>
      <c r="AS50" s="18"/>
      <c r="AT50" s="22"/>
      <c r="AU50" s="18"/>
      <c r="AV50" s="18"/>
      <c r="AW50" s="18"/>
      <c r="AX50" s="18"/>
      <c r="AY50" s="22"/>
      <c r="AZ50" s="18"/>
      <c r="BA50" s="18"/>
      <c r="BB50" s="18"/>
      <c r="BC50" s="18"/>
      <c r="BD50" s="22"/>
      <c r="BE50" s="18"/>
      <c r="BF50" s="18"/>
      <c r="BG50" s="18"/>
      <c r="BH50" s="18"/>
      <c r="BI50" s="22"/>
      <c r="BJ50" s="18"/>
      <c r="BK50" s="18"/>
      <c r="BL50" s="18"/>
      <c r="BM50" s="18"/>
      <c r="BN50" s="22"/>
      <c r="BO50" s="18"/>
      <c r="BP50" s="18"/>
      <c r="BQ50" s="18"/>
      <c r="BR50" s="18"/>
      <c r="BS50" s="22"/>
      <c r="BT50" s="18"/>
      <c r="BU50" s="18"/>
      <c r="BV50" s="18"/>
      <c r="BW50" s="18"/>
      <c r="BX50" s="22"/>
      <c r="BY50" s="18"/>
      <c r="BZ50" s="18"/>
      <c r="CA50" s="18"/>
      <c r="CB50" s="18"/>
      <c r="CC50" s="22"/>
      <c r="CD50" s="18"/>
      <c r="CE50" s="18"/>
      <c r="CF50" s="18"/>
      <c r="CG50" s="18"/>
      <c r="CH50" s="22"/>
      <c r="CI50" s="18"/>
      <c r="CJ50" s="18"/>
      <c r="CK50" s="18"/>
      <c r="CL50" s="18"/>
      <c r="CM50" s="22"/>
      <c r="CN50" s="18"/>
      <c r="CO50" s="18"/>
      <c r="CP50" s="18"/>
      <c r="CQ50" s="18"/>
      <c r="CR50" s="22"/>
    </row>
    <row r="51" spans="1:96" x14ac:dyDescent="0.2">
      <c r="A51" s="1" t="s">
        <v>128</v>
      </c>
      <c r="B51" s="17"/>
      <c r="C51" s="17"/>
      <c r="D51" s="17"/>
      <c r="E51" s="17"/>
      <c r="F51" s="20">
        <f>227.6-2.6</f>
        <v>225</v>
      </c>
      <c r="G51" s="17">
        <v>242.2</v>
      </c>
      <c r="H51" s="17">
        <v>278.8</v>
      </c>
      <c r="I51" s="17">
        <v>271.39999999999998</v>
      </c>
      <c r="J51" s="17">
        <v>175.3</v>
      </c>
      <c r="K51" s="20">
        <v>175.3</v>
      </c>
      <c r="L51" s="17">
        <v>159.9</v>
      </c>
      <c r="M51" s="17">
        <v>186.4</v>
      </c>
      <c r="N51" s="17">
        <v>209.3</v>
      </c>
      <c r="O51" s="17">
        <v>199.4</v>
      </c>
      <c r="P51" s="20">
        <v>199.4</v>
      </c>
      <c r="Q51" s="17">
        <v>240.6</v>
      </c>
      <c r="R51" s="17">
        <v>256.89999999999998</v>
      </c>
      <c r="S51" s="17">
        <v>232.2</v>
      </c>
      <c r="T51" s="17">
        <v>226.4</v>
      </c>
      <c r="U51" s="20">
        <v>226.4</v>
      </c>
      <c r="V51" s="17">
        <v>301.8</v>
      </c>
      <c r="W51" s="17">
        <v>282.3</v>
      </c>
      <c r="X51" s="17">
        <v>274.2</v>
      </c>
      <c r="Y51" s="17">
        <v>256.60000000000002</v>
      </c>
      <c r="Z51" s="20">
        <v>256.60000000000002</v>
      </c>
      <c r="AA51" s="17">
        <v>298.2</v>
      </c>
      <c r="AB51" s="17">
        <v>320.2</v>
      </c>
      <c r="AC51" s="17">
        <v>292</v>
      </c>
      <c r="AD51" s="17">
        <v>285.39999999999998</v>
      </c>
      <c r="AE51" s="20">
        <v>285.39999999999998</v>
      </c>
      <c r="AF51" s="17">
        <v>320</v>
      </c>
      <c r="AG51" s="17">
        <v>338.3</v>
      </c>
      <c r="AH51" s="17">
        <v>326.2</v>
      </c>
      <c r="AI51" s="17">
        <v>339.3</v>
      </c>
      <c r="AJ51" s="20">
        <v>339.3</v>
      </c>
      <c r="AK51" s="17">
        <v>350.2</v>
      </c>
      <c r="AL51" s="17">
        <v>376.7</v>
      </c>
      <c r="AM51" s="17">
        <v>356.9</v>
      </c>
      <c r="AN51" s="17">
        <v>369.8</v>
      </c>
      <c r="AO51" s="20">
        <v>369.8</v>
      </c>
      <c r="AP51" s="17"/>
      <c r="AQ51" s="17"/>
      <c r="AR51" s="17"/>
      <c r="AS51" s="17"/>
      <c r="AT51" s="20">
        <v>307.2</v>
      </c>
      <c r="AU51" s="17"/>
      <c r="AV51" s="17"/>
      <c r="AW51" s="17"/>
      <c r="AX51" s="17"/>
      <c r="AY51" s="20">
        <v>351</v>
      </c>
      <c r="AZ51" s="17"/>
      <c r="BA51" s="17"/>
      <c r="BB51" s="17"/>
      <c r="BC51" s="17"/>
      <c r="BD51" s="20">
        <v>430.3</v>
      </c>
      <c r="BE51" s="17"/>
      <c r="BF51" s="17"/>
      <c r="BG51" s="17"/>
      <c r="BH51" s="17"/>
      <c r="BI51" s="20">
        <v>465.4</v>
      </c>
      <c r="BJ51" s="17">
        <v>431.2</v>
      </c>
      <c r="BK51" s="17">
        <v>452.9</v>
      </c>
      <c r="BL51" s="17">
        <v>467.3</v>
      </c>
      <c r="BM51" s="17">
        <v>463.4</v>
      </c>
      <c r="BN51" s="20">
        <v>463.4</v>
      </c>
      <c r="BO51" s="17">
        <v>429.1</v>
      </c>
      <c r="BP51" s="17">
        <v>361.4</v>
      </c>
      <c r="BQ51" s="17">
        <v>494.1</v>
      </c>
      <c r="BR51" s="17">
        <v>552.20000000000005</v>
      </c>
      <c r="BS51" s="20">
        <v>552.20000000000005</v>
      </c>
      <c r="BT51" s="17">
        <v>536.29999999999995</v>
      </c>
      <c r="BU51" s="17">
        <v>612</v>
      </c>
      <c r="BV51" s="17">
        <v>607.1</v>
      </c>
      <c r="BW51" s="17">
        <v>613.79999999999995</v>
      </c>
      <c r="BX51" s="20">
        <v>613.79999999999995</v>
      </c>
      <c r="BY51" s="17">
        <v>622</v>
      </c>
      <c r="BZ51" s="17">
        <v>602</v>
      </c>
      <c r="CA51" s="17">
        <v>512.5</v>
      </c>
      <c r="CB51" s="17">
        <v>518.4</v>
      </c>
      <c r="CC51" s="20">
        <v>518.4</v>
      </c>
      <c r="CD51" s="17">
        <v>552.20000000000005</v>
      </c>
      <c r="CE51" s="17">
        <v>507.4</v>
      </c>
      <c r="CF51" s="17">
        <v>534.1</v>
      </c>
      <c r="CG51" s="17">
        <v>536.20000000000005</v>
      </c>
      <c r="CH51" s="20">
        <v>536.20000000000005</v>
      </c>
      <c r="CI51" s="17">
        <v>495.6</v>
      </c>
      <c r="CJ51" s="17">
        <v>521.79999999999995</v>
      </c>
      <c r="CK51" s="17">
        <v>516</v>
      </c>
      <c r="CL51" s="17">
        <v>497.7</v>
      </c>
      <c r="CM51" s="20">
        <v>497.7</v>
      </c>
      <c r="CN51" s="17">
        <v>476.5</v>
      </c>
      <c r="CO51" s="17">
        <v>468.4</v>
      </c>
      <c r="CP51" s="17">
        <v>485.3</v>
      </c>
      <c r="CQ51" s="17">
        <v>466.6</v>
      </c>
      <c r="CR51" s="20">
        <v>466.6</v>
      </c>
    </row>
    <row r="52" spans="1:96" x14ac:dyDescent="0.2">
      <c r="A52" s="1" t="s">
        <v>129</v>
      </c>
      <c r="B52" s="17"/>
      <c r="C52" s="17"/>
      <c r="D52" s="17"/>
      <c r="E52" s="17"/>
      <c r="F52" s="20">
        <v>88.7</v>
      </c>
      <c r="G52" s="17">
        <v>74.2</v>
      </c>
      <c r="H52" s="17">
        <v>11.4</v>
      </c>
      <c r="I52" s="17">
        <v>17.100000000000001</v>
      </c>
      <c r="J52" s="17">
        <v>22.4</v>
      </c>
      <c r="K52" s="20">
        <v>22.4</v>
      </c>
      <c r="L52" s="17">
        <v>17.100000000000001</v>
      </c>
      <c r="M52" s="17">
        <v>17</v>
      </c>
      <c r="N52" s="17">
        <v>1.9</v>
      </c>
      <c r="O52" s="17">
        <v>10.1</v>
      </c>
      <c r="P52" s="20">
        <v>10.1</v>
      </c>
      <c r="Q52" s="17">
        <v>10</v>
      </c>
      <c r="R52" s="17">
        <v>10</v>
      </c>
      <c r="S52" s="17">
        <v>9.8000000000000007</v>
      </c>
      <c r="T52" s="17">
        <v>2.2000000000000002</v>
      </c>
      <c r="U52" s="20">
        <v>2.2000000000000002</v>
      </c>
      <c r="V52" s="17">
        <v>2.2000000000000002</v>
      </c>
      <c r="W52" s="17">
        <v>2.2000000000000002</v>
      </c>
      <c r="X52" s="17">
        <v>2.1</v>
      </c>
      <c r="Y52" s="17">
        <v>2.5</v>
      </c>
      <c r="Z52" s="20">
        <v>2.5</v>
      </c>
      <c r="AA52" s="17">
        <v>2.5</v>
      </c>
      <c r="AB52" s="17">
        <v>201.9</v>
      </c>
      <c r="AC52" s="17">
        <v>201.8</v>
      </c>
      <c r="AD52" s="17">
        <v>201.5</v>
      </c>
      <c r="AE52" s="20">
        <v>201.5</v>
      </c>
      <c r="AF52" s="17">
        <v>201.4</v>
      </c>
      <c r="AG52" s="17">
        <v>1.8</v>
      </c>
      <c r="AH52" s="17">
        <v>1.1000000000000001</v>
      </c>
      <c r="AI52" s="17">
        <v>181.1</v>
      </c>
      <c r="AJ52" s="20">
        <v>181.1</v>
      </c>
      <c r="AK52" s="17">
        <v>181.4</v>
      </c>
      <c r="AL52" s="17">
        <v>181.3</v>
      </c>
      <c r="AM52" s="17">
        <v>381.6</v>
      </c>
      <c r="AN52" s="17">
        <v>201.7</v>
      </c>
      <c r="AO52" s="20">
        <v>201.7</v>
      </c>
      <c r="AP52" s="17"/>
      <c r="AQ52" s="17"/>
      <c r="AR52" s="17"/>
      <c r="AS52" s="17"/>
      <c r="AT52" s="20">
        <v>3.4</v>
      </c>
      <c r="AU52" s="17"/>
      <c r="AV52" s="17"/>
      <c r="AW52" s="17"/>
      <c r="AX52" s="17"/>
      <c r="AY52" s="20">
        <v>3.6</v>
      </c>
      <c r="AZ52" s="17"/>
      <c r="BA52" s="17"/>
      <c r="BB52" s="17"/>
      <c r="BC52" s="17"/>
      <c r="BD52" s="20">
        <v>153.80000000000001</v>
      </c>
      <c r="BE52" s="17"/>
      <c r="BF52" s="17"/>
      <c r="BG52" s="17"/>
      <c r="BH52" s="17"/>
      <c r="BI52" s="20">
        <v>1.2</v>
      </c>
      <c r="BJ52" s="17">
        <v>51.4</v>
      </c>
      <c r="BK52" s="17">
        <v>51.3</v>
      </c>
      <c r="BL52" s="17">
        <v>51.2</v>
      </c>
      <c r="BM52" s="17">
        <v>51.1</v>
      </c>
      <c r="BN52" s="20">
        <v>51.1</v>
      </c>
      <c r="BO52" s="17">
        <v>51.2</v>
      </c>
      <c r="BP52" s="17">
        <v>51.1</v>
      </c>
      <c r="BQ52" s="17">
        <v>51.1</v>
      </c>
      <c r="BR52" s="17">
        <v>50.9</v>
      </c>
      <c r="BS52" s="20">
        <v>50.9</v>
      </c>
      <c r="BT52" s="17">
        <v>50.8</v>
      </c>
      <c r="BU52" s="17">
        <v>50.8</v>
      </c>
      <c r="BV52" s="17">
        <v>300.39999999999998</v>
      </c>
      <c r="BW52" s="17">
        <v>300.60000000000002</v>
      </c>
      <c r="BX52" s="20">
        <v>300.60000000000002</v>
      </c>
      <c r="BY52" s="17">
        <v>301.3</v>
      </c>
      <c r="BZ52" s="17">
        <v>301.3</v>
      </c>
      <c r="CA52" s="17">
        <v>7.4</v>
      </c>
      <c r="CB52" s="17">
        <v>9.4</v>
      </c>
      <c r="CC52" s="20">
        <v>9.4</v>
      </c>
      <c r="CD52" s="17">
        <v>8.9</v>
      </c>
      <c r="CE52" s="17">
        <v>8.1999999999999993</v>
      </c>
      <c r="CF52" s="17">
        <v>8.9</v>
      </c>
      <c r="CG52" s="17">
        <v>308</v>
      </c>
      <c r="CH52" s="20">
        <v>308</v>
      </c>
      <c r="CI52" s="17">
        <v>303.8</v>
      </c>
      <c r="CJ52" s="17">
        <v>301</v>
      </c>
      <c r="CK52" s="17">
        <v>301.10000000000002</v>
      </c>
      <c r="CL52" s="17">
        <v>1.3</v>
      </c>
      <c r="CM52" s="20">
        <v>1.3</v>
      </c>
      <c r="CN52" s="17">
        <v>1.3</v>
      </c>
      <c r="CO52" s="17">
        <v>1.3</v>
      </c>
      <c r="CP52" s="17">
        <v>1.4</v>
      </c>
      <c r="CQ52" s="17">
        <v>1.5</v>
      </c>
      <c r="CR52" s="20">
        <v>1.5</v>
      </c>
    </row>
    <row r="53" spans="1:96" x14ac:dyDescent="0.2">
      <c r="A53" s="1" t="s">
        <v>130</v>
      </c>
      <c r="B53" s="17"/>
      <c r="C53" s="17"/>
      <c r="D53" s="17"/>
      <c r="E53" s="17"/>
      <c r="F53" s="20"/>
      <c r="G53" s="17"/>
      <c r="H53" s="17"/>
      <c r="I53" s="17"/>
      <c r="J53" s="17"/>
      <c r="K53" s="20"/>
      <c r="L53" s="17"/>
      <c r="M53" s="17"/>
      <c r="N53" s="17"/>
      <c r="O53" s="17"/>
      <c r="P53" s="20"/>
      <c r="Q53" s="17"/>
      <c r="R53" s="17"/>
      <c r="S53" s="17"/>
      <c r="T53" s="17"/>
      <c r="U53" s="20"/>
      <c r="V53" s="17"/>
      <c r="W53" s="17"/>
      <c r="X53" s="17"/>
      <c r="Y53" s="17"/>
      <c r="Z53" s="20"/>
      <c r="AA53" s="17"/>
      <c r="AB53" s="17"/>
      <c r="AC53" s="17"/>
      <c r="AD53" s="17"/>
      <c r="AE53" s="20"/>
      <c r="AF53" s="17"/>
      <c r="AG53" s="17"/>
      <c r="AH53" s="17"/>
      <c r="AI53" s="17"/>
      <c r="AJ53" s="20"/>
      <c r="AK53" s="17"/>
      <c r="AL53" s="17"/>
      <c r="AM53" s="17"/>
      <c r="AN53" s="17"/>
      <c r="AO53" s="20"/>
      <c r="AP53" s="17"/>
      <c r="AQ53" s="17"/>
      <c r="AR53" s="17"/>
      <c r="AS53" s="17"/>
      <c r="AT53" s="20"/>
      <c r="AU53" s="17"/>
      <c r="AV53" s="17"/>
      <c r="AW53" s="17"/>
      <c r="AX53" s="17"/>
      <c r="AY53" s="20"/>
      <c r="AZ53" s="17"/>
      <c r="BA53" s="17"/>
      <c r="BB53" s="17"/>
      <c r="BC53" s="17"/>
      <c r="BD53" s="20"/>
      <c r="BE53" s="17"/>
      <c r="BF53" s="17"/>
      <c r="BG53" s="17"/>
      <c r="BH53" s="17"/>
      <c r="BI53" s="20"/>
      <c r="BJ53" s="17">
        <v>38.1</v>
      </c>
      <c r="BK53" s="17">
        <v>38.5</v>
      </c>
      <c r="BL53" s="17">
        <v>38</v>
      </c>
      <c r="BM53" s="17">
        <v>39.299999999999997</v>
      </c>
      <c r="BN53" s="20">
        <v>39.299999999999997</v>
      </c>
      <c r="BO53" s="17">
        <v>39.6</v>
      </c>
      <c r="BP53" s="17">
        <v>41.8</v>
      </c>
      <c r="BQ53" s="17">
        <v>41.9</v>
      </c>
      <c r="BR53" s="17">
        <v>42.4</v>
      </c>
      <c r="BS53" s="20">
        <v>42.4</v>
      </c>
      <c r="BT53" s="17">
        <v>42.8</v>
      </c>
      <c r="BU53" s="17">
        <v>44.2</v>
      </c>
      <c r="BV53" s="17">
        <v>43.6</v>
      </c>
      <c r="BW53" s="17">
        <v>44.5</v>
      </c>
      <c r="BX53" s="20">
        <v>44.5</v>
      </c>
      <c r="BY53" s="17">
        <v>45.8</v>
      </c>
      <c r="BZ53" s="17">
        <v>44.8</v>
      </c>
      <c r="CA53" s="17">
        <v>44.7</v>
      </c>
      <c r="CB53" s="17">
        <v>49.5</v>
      </c>
      <c r="CC53" s="20">
        <v>49.5</v>
      </c>
      <c r="CD53" s="17">
        <v>55.1</v>
      </c>
      <c r="CE53" s="17">
        <v>56.3</v>
      </c>
      <c r="CF53" s="17">
        <v>55.9</v>
      </c>
      <c r="CG53" s="17">
        <v>57.3</v>
      </c>
      <c r="CH53" s="20">
        <v>57.3</v>
      </c>
      <c r="CI53" s="17">
        <v>58</v>
      </c>
      <c r="CJ53" s="17">
        <v>57.1</v>
      </c>
      <c r="CK53" s="17">
        <v>53.7</v>
      </c>
      <c r="CL53" s="17">
        <v>53.4</v>
      </c>
      <c r="CM53" s="20">
        <v>53.4</v>
      </c>
      <c r="CN53" s="17">
        <v>52</v>
      </c>
      <c r="CO53" s="17">
        <v>50.9</v>
      </c>
      <c r="CP53" s="17">
        <v>46.3</v>
      </c>
      <c r="CQ53" s="17">
        <v>51.5</v>
      </c>
      <c r="CR53" s="20">
        <v>51.5</v>
      </c>
    </row>
    <row r="54" spans="1:96" x14ac:dyDescent="0.2">
      <c r="A54" s="1" t="s">
        <v>123</v>
      </c>
      <c r="B54" s="26"/>
      <c r="C54" s="26"/>
      <c r="D54" s="26"/>
      <c r="E54" s="26"/>
      <c r="F54" s="21">
        <f>274.6+136.3-2.5</f>
        <v>408.40000000000003</v>
      </c>
      <c r="G54" s="26">
        <v>382.8</v>
      </c>
      <c r="H54" s="26">
        <v>389</v>
      </c>
      <c r="I54" s="26">
        <v>381.7</v>
      </c>
      <c r="J54" s="26">
        <v>319.10000000000002</v>
      </c>
      <c r="K54" s="21">
        <v>319.10000000000002</v>
      </c>
      <c r="L54" s="26">
        <v>306</v>
      </c>
      <c r="M54" s="26">
        <v>293.3</v>
      </c>
      <c r="N54" s="26">
        <v>323.89999999999998</v>
      </c>
      <c r="O54" s="26">
        <v>322.39999999999998</v>
      </c>
      <c r="P54" s="21">
        <v>322.39999999999998</v>
      </c>
      <c r="Q54" s="26">
        <v>312.5</v>
      </c>
      <c r="R54" s="26">
        <v>299.7</v>
      </c>
      <c r="S54" s="26">
        <v>308</v>
      </c>
      <c r="T54" s="26">
        <v>294.39999999999998</v>
      </c>
      <c r="U54" s="21">
        <v>294.39999999999998</v>
      </c>
      <c r="V54" s="26">
        <v>281.7</v>
      </c>
      <c r="W54" s="26">
        <v>293.3</v>
      </c>
      <c r="X54" s="26">
        <v>327.7</v>
      </c>
      <c r="Y54" s="26">
        <v>326.89999999999998</v>
      </c>
      <c r="Z54" s="21">
        <v>326.89999999999998</v>
      </c>
      <c r="AA54" s="26">
        <v>325.39999999999998</v>
      </c>
      <c r="AB54" s="26">
        <v>358.7</v>
      </c>
      <c r="AC54" s="26">
        <v>301.89999999999998</v>
      </c>
      <c r="AD54" s="26">
        <v>244.1</v>
      </c>
      <c r="AE54" s="21">
        <v>244.1</v>
      </c>
      <c r="AF54" s="26">
        <v>271.2</v>
      </c>
      <c r="AG54" s="26">
        <v>290.60000000000002</v>
      </c>
      <c r="AH54" s="26">
        <v>311.5</v>
      </c>
      <c r="AI54" s="26">
        <v>309.10000000000002</v>
      </c>
      <c r="AJ54" s="21">
        <v>309.10000000000002</v>
      </c>
      <c r="AK54" s="26">
        <v>302.39999999999998</v>
      </c>
      <c r="AL54" s="26">
        <v>306.8</v>
      </c>
      <c r="AM54" s="26">
        <f>384.4+21.5</f>
        <v>405.9</v>
      </c>
      <c r="AN54" s="26">
        <f>5.4+415.3</f>
        <v>420.7</v>
      </c>
      <c r="AO54" s="21">
        <f>5.4+415.3</f>
        <v>420.7</v>
      </c>
      <c r="AP54" s="26"/>
      <c r="AQ54" s="26"/>
      <c r="AR54" s="26"/>
      <c r="AS54" s="26"/>
      <c r="AT54" s="21">
        <v>390.6</v>
      </c>
      <c r="AU54" s="26"/>
      <c r="AV54" s="26"/>
      <c r="AW54" s="26"/>
      <c r="AX54" s="26"/>
      <c r="AY54" s="21">
        <v>351.9</v>
      </c>
      <c r="AZ54" s="26"/>
      <c r="BA54" s="26"/>
      <c r="BB54" s="26"/>
      <c r="BC54" s="26"/>
      <c r="BD54" s="21">
        <v>392.1</v>
      </c>
      <c r="BE54" s="26"/>
      <c r="BF54" s="26"/>
      <c r="BG54" s="26"/>
      <c r="BH54" s="26"/>
      <c r="BI54" s="21">
        <v>349.1</v>
      </c>
      <c r="BJ54" s="26">
        <v>346.3</v>
      </c>
      <c r="BK54" s="26">
        <v>357.6</v>
      </c>
      <c r="BL54" s="26">
        <v>364.3</v>
      </c>
      <c r="BM54" s="26">
        <v>374.3</v>
      </c>
      <c r="BN54" s="21">
        <v>374.3</v>
      </c>
      <c r="BO54" s="26">
        <v>334.8</v>
      </c>
      <c r="BP54" s="26">
        <v>321.2</v>
      </c>
      <c r="BQ54" s="26">
        <v>360.3</v>
      </c>
      <c r="BR54" s="26">
        <v>360.5</v>
      </c>
      <c r="BS54" s="21">
        <v>360.5</v>
      </c>
      <c r="BT54" s="26">
        <v>365.7</v>
      </c>
      <c r="BU54" s="26">
        <v>400.1</v>
      </c>
      <c r="BV54" s="26">
        <v>386.9</v>
      </c>
      <c r="BW54" s="26">
        <v>376.8</v>
      </c>
      <c r="BX54" s="21">
        <v>376.8</v>
      </c>
      <c r="BY54" s="26">
        <v>382.1</v>
      </c>
      <c r="BZ54" s="26">
        <v>383.3</v>
      </c>
      <c r="CA54" s="26">
        <f>400.4</f>
        <v>400.4</v>
      </c>
      <c r="CB54" s="26">
        <v>390.8</v>
      </c>
      <c r="CC54" s="21">
        <v>390.8</v>
      </c>
      <c r="CD54" s="26">
        <v>352.4</v>
      </c>
      <c r="CE54" s="26">
        <v>383.7</v>
      </c>
      <c r="CF54" s="26">
        <v>410.2</v>
      </c>
      <c r="CG54" s="26">
        <v>361.1</v>
      </c>
      <c r="CH54" s="21">
        <v>361.1</v>
      </c>
      <c r="CI54" s="26">
        <v>330.9</v>
      </c>
      <c r="CJ54" s="26">
        <v>288</v>
      </c>
      <c r="CK54" s="26">
        <v>300.89999999999998</v>
      </c>
      <c r="CL54" s="26">
        <v>294</v>
      </c>
      <c r="CM54" s="21">
        <v>294</v>
      </c>
      <c r="CN54" s="26">
        <v>280.60000000000002</v>
      </c>
      <c r="CO54" s="26">
        <v>281.7</v>
      </c>
      <c r="CP54" s="26">
        <v>261.10000000000002</v>
      </c>
      <c r="CQ54" s="26">
        <v>255.4</v>
      </c>
      <c r="CR54" s="21">
        <v>255.4</v>
      </c>
    </row>
    <row r="55" spans="1:96" x14ac:dyDescent="0.2">
      <c r="A55" s="6" t="s">
        <v>131</v>
      </c>
      <c r="B55" s="18"/>
      <c r="C55" s="18"/>
      <c r="D55" s="18"/>
      <c r="E55" s="18"/>
      <c r="F55" s="22">
        <f t="shared" ref="F55:K55" si="232">SUM(F51:F54)</f>
        <v>722.1</v>
      </c>
      <c r="G55" s="18">
        <f t="shared" si="232"/>
        <v>699.2</v>
      </c>
      <c r="H55" s="18">
        <f t="shared" si="232"/>
        <v>679.2</v>
      </c>
      <c r="I55" s="18">
        <f t="shared" si="232"/>
        <v>670.2</v>
      </c>
      <c r="J55" s="18">
        <f t="shared" si="232"/>
        <v>516.80000000000007</v>
      </c>
      <c r="K55" s="22">
        <f t="shared" si="232"/>
        <v>516.80000000000007</v>
      </c>
      <c r="L55" s="18">
        <f t="shared" ref="L55:AT55" si="233">SUM(L51:L54)</f>
        <v>483</v>
      </c>
      <c r="M55" s="18">
        <f t="shared" si="233"/>
        <v>496.70000000000005</v>
      </c>
      <c r="N55" s="18">
        <f t="shared" si="233"/>
        <v>535.1</v>
      </c>
      <c r="O55" s="18">
        <f t="shared" si="233"/>
        <v>531.9</v>
      </c>
      <c r="P55" s="22">
        <f t="shared" si="233"/>
        <v>531.9</v>
      </c>
      <c r="Q55" s="18">
        <f t="shared" si="233"/>
        <v>563.1</v>
      </c>
      <c r="R55" s="18">
        <f t="shared" si="233"/>
        <v>566.59999999999991</v>
      </c>
      <c r="S55" s="18">
        <f t="shared" si="233"/>
        <v>550</v>
      </c>
      <c r="T55" s="18">
        <f t="shared" si="233"/>
        <v>523</v>
      </c>
      <c r="U55" s="22">
        <f t="shared" si="233"/>
        <v>523</v>
      </c>
      <c r="V55" s="18">
        <f t="shared" si="233"/>
        <v>585.70000000000005</v>
      </c>
      <c r="W55" s="18">
        <f t="shared" si="233"/>
        <v>577.79999999999995</v>
      </c>
      <c r="X55" s="18">
        <f t="shared" si="233"/>
        <v>604</v>
      </c>
      <c r="Y55" s="18">
        <f t="shared" si="233"/>
        <v>586</v>
      </c>
      <c r="Z55" s="22">
        <f t="shared" si="233"/>
        <v>586</v>
      </c>
      <c r="AA55" s="18">
        <f t="shared" si="233"/>
        <v>626.09999999999991</v>
      </c>
      <c r="AB55" s="18">
        <f t="shared" si="233"/>
        <v>880.8</v>
      </c>
      <c r="AC55" s="18">
        <f t="shared" si="233"/>
        <v>795.7</v>
      </c>
      <c r="AD55" s="18">
        <f t="shared" si="233"/>
        <v>731</v>
      </c>
      <c r="AE55" s="22">
        <f t="shared" si="233"/>
        <v>731</v>
      </c>
      <c r="AF55" s="18">
        <f t="shared" si="233"/>
        <v>792.59999999999991</v>
      </c>
      <c r="AG55" s="18">
        <f t="shared" si="233"/>
        <v>630.70000000000005</v>
      </c>
      <c r="AH55" s="18">
        <f t="shared" si="233"/>
        <v>638.79999999999995</v>
      </c>
      <c r="AI55" s="18">
        <f t="shared" si="233"/>
        <v>829.5</v>
      </c>
      <c r="AJ55" s="22">
        <f t="shared" si="233"/>
        <v>829.5</v>
      </c>
      <c r="AK55" s="18">
        <f t="shared" si="233"/>
        <v>834</v>
      </c>
      <c r="AL55" s="18">
        <f t="shared" si="233"/>
        <v>864.8</v>
      </c>
      <c r="AM55" s="18">
        <f t="shared" si="233"/>
        <v>1144.4000000000001</v>
      </c>
      <c r="AN55" s="18">
        <f t="shared" si="233"/>
        <v>992.2</v>
      </c>
      <c r="AO55" s="22">
        <f t="shared" si="233"/>
        <v>992.2</v>
      </c>
      <c r="AP55" s="18"/>
      <c r="AQ55" s="18"/>
      <c r="AR55" s="18"/>
      <c r="AS55" s="18"/>
      <c r="AT55" s="22">
        <f t="shared" si="233"/>
        <v>701.2</v>
      </c>
      <c r="AU55" s="18"/>
      <c r="AV55" s="18"/>
      <c r="AW55" s="18"/>
      <c r="AX55" s="18"/>
      <c r="AY55" s="22">
        <f t="shared" ref="AY55" si="234">SUM(AY51:AY54)</f>
        <v>706.5</v>
      </c>
      <c r="AZ55" s="18"/>
      <c r="BA55" s="18"/>
      <c r="BB55" s="18"/>
      <c r="BC55" s="18"/>
      <c r="BD55" s="22">
        <f>SUM(BD51:BD54)</f>
        <v>976.2</v>
      </c>
      <c r="BE55" s="52"/>
      <c r="BF55" s="18"/>
      <c r="BG55" s="18"/>
      <c r="BH55" s="18"/>
      <c r="BI55" s="22">
        <f t="shared" ref="BI55:BN55" si="235">SUM(BI51:BI54)</f>
        <v>815.7</v>
      </c>
      <c r="BJ55" s="18">
        <f>SUM(BJ51:BJ54)</f>
        <v>867</v>
      </c>
      <c r="BK55" s="18">
        <f t="shared" si="235"/>
        <v>900.30000000000007</v>
      </c>
      <c r="BL55" s="18">
        <f t="shared" si="235"/>
        <v>920.8</v>
      </c>
      <c r="BM55" s="18">
        <f t="shared" si="235"/>
        <v>928.09999999999991</v>
      </c>
      <c r="BN55" s="22">
        <f t="shared" si="235"/>
        <v>928.09999999999991</v>
      </c>
      <c r="BO55" s="18">
        <f t="shared" ref="BO55:BW55" si="236">SUM(BO51:BO54)</f>
        <v>854.7</v>
      </c>
      <c r="BP55" s="18">
        <f t="shared" si="236"/>
        <v>775.5</v>
      </c>
      <c r="BQ55" s="18">
        <f t="shared" si="236"/>
        <v>947.40000000000009</v>
      </c>
      <c r="BR55" s="18">
        <f t="shared" si="236"/>
        <v>1006</v>
      </c>
      <c r="BS55" s="22">
        <f t="shared" si="236"/>
        <v>1006</v>
      </c>
      <c r="BT55" s="18">
        <f t="shared" si="236"/>
        <v>995.59999999999991</v>
      </c>
      <c r="BU55" s="18">
        <f t="shared" si="236"/>
        <v>1107.0999999999999</v>
      </c>
      <c r="BV55" s="18">
        <f t="shared" si="236"/>
        <v>1338</v>
      </c>
      <c r="BW55" s="18">
        <f t="shared" si="236"/>
        <v>1335.7</v>
      </c>
      <c r="BX55" s="22">
        <f t="shared" ref="BX55:CB55" si="237">SUM(BX51:BX54)</f>
        <v>1335.7</v>
      </c>
      <c r="BY55" s="18">
        <f t="shared" si="237"/>
        <v>1351.1999999999998</v>
      </c>
      <c r="BZ55" s="18">
        <f>SUM(BZ51:BZ54)</f>
        <v>1331.3999999999999</v>
      </c>
      <c r="CA55" s="18">
        <f t="shared" si="237"/>
        <v>965</v>
      </c>
      <c r="CB55" s="18">
        <f t="shared" si="237"/>
        <v>968.09999999999991</v>
      </c>
      <c r="CC55" s="22">
        <f t="shared" ref="CC55:CM55" si="238">SUM(CC51:CC54)</f>
        <v>968.09999999999991</v>
      </c>
      <c r="CD55" s="18">
        <f t="shared" si="238"/>
        <v>968.6</v>
      </c>
      <c r="CE55" s="18">
        <f t="shared" si="238"/>
        <v>955.59999999999991</v>
      </c>
      <c r="CF55" s="18">
        <f t="shared" si="238"/>
        <v>1009.0999999999999</v>
      </c>
      <c r="CG55" s="18">
        <f t="shared" si="238"/>
        <v>1262.5999999999999</v>
      </c>
      <c r="CH55" s="22">
        <f t="shared" si="238"/>
        <v>1262.5999999999999</v>
      </c>
      <c r="CI55" s="18">
        <f t="shared" si="238"/>
        <v>1188.3000000000002</v>
      </c>
      <c r="CJ55" s="18">
        <f t="shared" si="238"/>
        <v>1167.9000000000001</v>
      </c>
      <c r="CK55" s="18">
        <f t="shared" si="238"/>
        <v>1171.7</v>
      </c>
      <c r="CL55" s="18">
        <f t="shared" si="238"/>
        <v>846.4</v>
      </c>
      <c r="CM55" s="22">
        <f t="shared" si="238"/>
        <v>846.4</v>
      </c>
      <c r="CN55" s="18">
        <f t="shared" ref="CN55:CR55" si="239">SUM(CN51:CN54)</f>
        <v>810.4</v>
      </c>
      <c r="CO55" s="18">
        <f t="shared" si="239"/>
        <v>802.3</v>
      </c>
      <c r="CP55" s="18">
        <f t="shared" si="239"/>
        <v>794.1</v>
      </c>
      <c r="CQ55" s="18">
        <f t="shared" si="239"/>
        <v>775</v>
      </c>
      <c r="CR55" s="22">
        <f t="shared" si="239"/>
        <v>775</v>
      </c>
    </row>
    <row r="56" spans="1:96" x14ac:dyDescent="0.2">
      <c r="A56" s="1" t="s">
        <v>132</v>
      </c>
      <c r="B56" s="17"/>
      <c r="C56" s="17"/>
      <c r="D56" s="17"/>
      <c r="E56" s="17"/>
      <c r="F56" s="20">
        <v>1000.6</v>
      </c>
      <c r="G56" s="17">
        <v>1095.8</v>
      </c>
      <c r="H56" s="17">
        <v>1227.9000000000001</v>
      </c>
      <c r="I56" s="17">
        <v>998.2</v>
      </c>
      <c r="J56" s="17">
        <v>851.2</v>
      </c>
      <c r="K56" s="20">
        <v>851.2</v>
      </c>
      <c r="L56" s="17">
        <v>793.2</v>
      </c>
      <c r="M56" s="17">
        <v>772.8</v>
      </c>
      <c r="N56" s="17">
        <v>772.4</v>
      </c>
      <c r="O56" s="17">
        <v>789.3</v>
      </c>
      <c r="P56" s="20">
        <v>789.3</v>
      </c>
      <c r="Q56" s="17">
        <v>822.2</v>
      </c>
      <c r="R56" s="17">
        <v>854.8</v>
      </c>
      <c r="S56" s="17">
        <v>833.5</v>
      </c>
      <c r="T56" s="17">
        <v>762.2</v>
      </c>
      <c r="U56" s="20">
        <v>762.2</v>
      </c>
      <c r="V56" s="17">
        <v>821.9</v>
      </c>
      <c r="W56" s="17">
        <v>856.6</v>
      </c>
      <c r="X56" s="17">
        <v>897.3</v>
      </c>
      <c r="Y56" s="17">
        <v>833.3</v>
      </c>
      <c r="Z56" s="20">
        <v>833.3</v>
      </c>
      <c r="AA56" s="17">
        <v>1046.8</v>
      </c>
      <c r="AB56" s="17">
        <v>821</v>
      </c>
      <c r="AC56" s="17">
        <v>860.2</v>
      </c>
      <c r="AD56" s="17">
        <v>853.9</v>
      </c>
      <c r="AE56" s="20">
        <v>853.9</v>
      </c>
      <c r="AF56" s="17">
        <v>953.8</v>
      </c>
      <c r="AG56" s="17">
        <v>973.9</v>
      </c>
      <c r="AH56" s="17">
        <v>957.5</v>
      </c>
      <c r="AI56" s="17">
        <v>688.4</v>
      </c>
      <c r="AJ56" s="20">
        <v>688.4</v>
      </c>
      <c r="AK56" s="17">
        <v>811</v>
      </c>
      <c r="AL56" s="17">
        <v>926</v>
      </c>
      <c r="AM56" s="17">
        <v>619.20000000000005</v>
      </c>
      <c r="AN56" s="17">
        <v>766.7</v>
      </c>
      <c r="AO56" s="20">
        <v>766.7</v>
      </c>
      <c r="AP56" s="17"/>
      <c r="AQ56" s="17"/>
      <c r="AR56" s="17"/>
      <c r="AS56" s="17"/>
      <c r="AT56" s="20">
        <v>941.5</v>
      </c>
      <c r="AU56" s="17"/>
      <c r="AV56" s="17"/>
      <c r="AW56" s="17"/>
      <c r="AX56" s="17"/>
      <c r="AY56" s="20">
        <v>956.2</v>
      </c>
      <c r="AZ56" s="17"/>
      <c r="BA56" s="17"/>
      <c r="BB56" s="17"/>
      <c r="BC56" s="17"/>
      <c r="BD56" s="20">
        <v>1097.9000000000001</v>
      </c>
      <c r="BE56" s="17"/>
      <c r="BF56" s="17"/>
      <c r="BG56" s="17"/>
      <c r="BH56" s="17"/>
      <c r="BI56" s="20">
        <v>1167.8</v>
      </c>
      <c r="BJ56" s="17">
        <v>2409.6</v>
      </c>
      <c r="BK56" s="17">
        <v>2363.5</v>
      </c>
      <c r="BL56" s="17">
        <v>2197.1</v>
      </c>
      <c r="BM56" s="17">
        <v>2066.5</v>
      </c>
      <c r="BN56" s="20">
        <v>2066.5</v>
      </c>
      <c r="BO56" s="17">
        <v>2415.1999999999998</v>
      </c>
      <c r="BP56" s="17">
        <v>2083.1999999999998</v>
      </c>
      <c r="BQ56" s="17">
        <v>1909.1</v>
      </c>
      <c r="BR56" s="17">
        <v>1849.3</v>
      </c>
      <c r="BS56" s="20">
        <v>1849.3</v>
      </c>
      <c r="BT56" s="17">
        <v>1952.9</v>
      </c>
      <c r="BU56" s="17">
        <v>1974.9</v>
      </c>
      <c r="BV56" s="17">
        <v>1765.6</v>
      </c>
      <c r="BW56" s="17">
        <v>1789.7</v>
      </c>
      <c r="BX56" s="20">
        <v>1789.7</v>
      </c>
      <c r="BY56" s="17">
        <v>1803.1</v>
      </c>
      <c r="BZ56" s="17">
        <v>1789.5</v>
      </c>
      <c r="CA56" s="17">
        <v>2133.6</v>
      </c>
      <c r="CB56" s="17">
        <v>2074.1999999999998</v>
      </c>
      <c r="CC56" s="20">
        <v>2074.1999999999998</v>
      </c>
      <c r="CD56" s="17">
        <v>2108.9</v>
      </c>
      <c r="CE56" s="17">
        <v>2016.4</v>
      </c>
      <c r="CF56" s="17">
        <v>1963</v>
      </c>
      <c r="CG56" s="17">
        <v>1679.6</v>
      </c>
      <c r="CH56" s="20">
        <v>1679.6</v>
      </c>
      <c r="CI56" s="17">
        <v>1772.9</v>
      </c>
      <c r="CJ56" s="17">
        <v>1702.1</v>
      </c>
      <c r="CK56" s="17">
        <v>1578.2</v>
      </c>
      <c r="CL56" s="17">
        <v>1862.8</v>
      </c>
      <c r="CM56" s="20">
        <v>1862.8</v>
      </c>
      <c r="CN56" s="17">
        <v>1935.1</v>
      </c>
      <c r="CO56" s="17">
        <v>1792.2</v>
      </c>
      <c r="CP56" s="17">
        <v>1495.8</v>
      </c>
      <c r="CQ56" s="17">
        <v>1496.2</v>
      </c>
      <c r="CR56" s="20">
        <v>1496.2</v>
      </c>
    </row>
    <row r="57" spans="1:96" x14ac:dyDescent="0.2">
      <c r="A57" s="1" t="s">
        <v>133</v>
      </c>
      <c r="B57" s="17"/>
      <c r="C57" s="17"/>
      <c r="D57" s="17"/>
      <c r="E57" s="17"/>
      <c r="F57" s="20"/>
      <c r="G57" s="17"/>
      <c r="H57" s="17"/>
      <c r="I57" s="17"/>
      <c r="J57" s="17"/>
      <c r="K57" s="20"/>
      <c r="L57" s="17"/>
      <c r="M57" s="17"/>
      <c r="N57" s="17"/>
      <c r="O57" s="17"/>
      <c r="P57" s="20"/>
      <c r="Q57" s="17"/>
      <c r="R57" s="17"/>
      <c r="S57" s="17"/>
      <c r="T57" s="17"/>
      <c r="U57" s="20"/>
      <c r="V57" s="17"/>
      <c r="W57" s="17"/>
      <c r="X57" s="17"/>
      <c r="Y57" s="17"/>
      <c r="Z57" s="20"/>
      <c r="AA57" s="17"/>
      <c r="AB57" s="17"/>
      <c r="AC57" s="17"/>
      <c r="AD57" s="17"/>
      <c r="AE57" s="20"/>
      <c r="AF57" s="17"/>
      <c r="AG57" s="17"/>
      <c r="AH57" s="17"/>
      <c r="AI57" s="17"/>
      <c r="AJ57" s="20"/>
      <c r="AK57" s="17"/>
      <c r="AL57" s="17"/>
      <c r="AM57" s="17"/>
      <c r="AN57" s="17"/>
      <c r="AO57" s="20"/>
      <c r="AP57" s="17"/>
      <c r="AQ57" s="17"/>
      <c r="AR57" s="17"/>
      <c r="AS57" s="17"/>
      <c r="AT57" s="20"/>
      <c r="AU57" s="17"/>
      <c r="AV57" s="17"/>
      <c r="AW57" s="17"/>
      <c r="AX57" s="17"/>
      <c r="AY57" s="20"/>
      <c r="AZ57" s="17"/>
      <c r="BA57" s="17"/>
      <c r="BB57" s="17"/>
      <c r="BC57" s="17"/>
      <c r="BD57" s="20"/>
      <c r="BE57" s="17"/>
      <c r="BF57" s="17"/>
      <c r="BG57" s="17"/>
      <c r="BH57" s="17"/>
      <c r="BI57" s="20"/>
      <c r="BJ57" s="17">
        <v>119.1</v>
      </c>
      <c r="BK57" s="17">
        <v>131.4</v>
      </c>
      <c r="BL57" s="17">
        <v>119</v>
      </c>
      <c r="BM57" s="17">
        <v>121.6</v>
      </c>
      <c r="BN57" s="20">
        <v>121.6</v>
      </c>
      <c r="BO57" s="17">
        <v>117.9</v>
      </c>
      <c r="BP57" s="17">
        <v>128.6</v>
      </c>
      <c r="BQ57" s="17">
        <v>125.3</v>
      </c>
      <c r="BR57" s="17">
        <v>122.1</v>
      </c>
      <c r="BS57" s="20">
        <v>122.1</v>
      </c>
      <c r="BT57" s="17">
        <v>115.4</v>
      </c>
      <c r="BU57" s="17">
        <v>126.7</v>
      </c>
      <c r="BV57" s="17">
        <v>149.1</v>
      </c>
      <c r="BW57" s="17">
        <v>153</v>
      </c>
      <c r="BX57" s="20">
        <v>153</v>
      </c>
      <c r="BY57" s="17">
        <v>150</v>
      </c>
      <c r="BZ57" s="17">
        <v>149.5</v>
      </c>
      <c r="CA57" s="17">
        <v>151.1</v>
      </c>
      <c r="CB57" s="17">
        <v>153.6</v>
      </c>
      <c r="CC57" s="20">
        <v>153.6</v>
      </c>
      <c r="CD57" s="17">
        <v>175.9</v>
      </c>
      <c r="CE57" s="17">
        <v>167.2</v>
      </c>
      <c r="CF57" s="17">
        <v>156.5</v>
      </c>
      <c r="CG57" s="17">
        <v>150.5</v>
      </c>
      <c r="CH57" s="20">
        <v>150.5</v>
      </c>
      <c r="CI57" s="17">
        <v>158.5</v>
      </c>
      <c r="CJ57" s="17">
        <v>148.69999999999999</v>
      </c>
      <c r="CK57" s="17">
        <v>143.30000000000001</v>
      </c>
      <c r="CL57" s="17">
        <v>131.1</v>
      </c>
      <c r="CM57" s="20">
        <v>131.1</v>
      </c>
      <c r="CN57" s="17">
        <v>119.3</v>
      </c>
      <c r="CO57" s="17">
        <v>111.2</v>
      </c>
      <c r="CP57" s="17">
        <v>120</v>
      </c>
      <c r="CQ57" s="17">
        <v>106.7</v>
      </c>
      <c r="CR57" s="20">
        <v>106.7</v>
      </c>
    </row>
    <row r="58" spans="1:96" x14ac:dyDescent="0.2">
      <c r="A58" s="1" t="s">
        <v>134</v>
      </c>
      <c r="B58" s="17"/>
      <c r="C58" s="17"/>
      <c r="D58" s="17"/>
      <c r="E58" s="17"/>
      <c r="F58" s="20">
        <f>96.3+42.3</f>
        <v>138.6</v>
      </c>
      <c r="G58" s="17">
        <v>146.9</v>
      </c>
      <c r="H58" s="17">
        <v>164.4</v>
      </c>
      <c r="I58" s="17">
        <v>146.9</v>
      </c>
      <c r="J58" s="17">
        <v>133.5</v>
      </c>
      <c r="K58" s="20">
        <v>133.5</v>
      </c>
      <c r="L58" s="17">
        <v>117.3</v>
      </c>
      <c r="M58" s="17">
        <v>128.5</v>
      </c>
      <c r="N58" s="17">
        <v>155</v>
      </c>
      <c r="O58" s="17">
        <v>161.30000000000001</v>
      </c>
      <c r="P58" s="20">
        <v>161.30000000000001</v>
      </c>
      <c r="Q58" s="17">
        <v>162.30000000000001</v>
      </c>
      <c r="R58" s="17">
        <v>164.6</v>
      </c>
      <c r="S58" s="17">
        <v>180.4</v>
      </c>
      <c r="T58" s="17">
        <v>191.4</v>
      </c>
      <c r="U58" s="20">
        <v>191.4</v>
      </c>
      <c r="V58" s="17">
        <v>201.5</v>
      </c>
      <c r="W58" s="17">
        <v>205.6</v>
      </c>
      <c r="X58" s="17">
        <v>182.9</v>
      </c>
      <c r="Y58" s="17">
        <v>188.1</v>
      </c>
      <c r="Z58" s="20">
        <v>188.1</v>
      </c>
      <c r="AA58" s="17">
        <v>196.6</v>
      </c>
      <c r="AB58" s="17">
        <v>191.3</v>
      </c>
      <c r="AC58" s="17">
        <v>189.2</v>
      </c>
      <c r="AD58" s="17">
        <v>227.8</v>
      </c>
      <c r="AE58" s="20">
        <v>227.8</v>
      </c>
      <c r="AF58" s="17">
        <v>241.6</v>
      </c>
      <c r="AG58" s="17">
        <v>240.4</v>
      </c>
      <c r="AH58" s="17">
        <v>245.1</v>
      </c>
      <c r="AI58" s="17">
        <v>191</v>
      </c>
      <c r="AJ58" s="20">
        <v>191</v>
      </c>
      <c r="AK58" s="17">
        <v>205.6</v>
      </c>
      <c r="AL58" s="17">
        <v>190.2</v>
      </c>
      <c r="AM58" s="17">
        <v>192.5</v>
      </c>
      <c r="AN58" s="17">
        <v>226.8</v>
      </c>
      <c r="AO58" s="20">
        <v>226.8</v>
      </c>
      <c r="AP58" s="17"/>
      <c r="AQ58" s="17"/>
      <c r="AR58" s="17"/>
      <c r="AS58" s="17"/>
      <c r="AT58" s="20">
        <f>44+184.7</f>
        <v>228.7</v>
      </c>
      <c r="AU58" s="17"/>
      <c r="AV58" s="17"/>
      <c r="AW58" s="17"/>
      <c r="AX58" s="17"/>
      <c r="AY58" s="20">
        <f>64.8+173</f>
        <v>237.8</v>
      </c>
      <c r="AZ58" s="17"/>
      <c r="BA58" s="17"/>
      <c r="BB58" s="17"/>
      <c r="BC58" s="17"/>
      <c r="BD58" s="20">
        <f>93.6+61.9+141</f>
        <v>296.5</v>
      </c>
      <c r="BE58" s="17"/>
      <c r="BF58" s="17"/>
      <c r="BG58" s="17"/>
      <c r="BH58" s="17"/>
      <c r="BI58" s="20">
        <f>102+32.2+123.1</f>
        <v>257.29999999999995</v>
      </c>
      <c r="BJ58" s="17">
        <v>379.4</v>
      </c>
      <c r="BK58" s="17">
        <v>382.2</v>
      </c>
      <c r="BL58" s="17">
        <v>378</v>
      </c>
      <c r="BM58" s="17">
        <v>397.3</v>
      </c>
      <c r="BN58" s="20">
        <v>397.3</v>
      </c>
      <c r="BO58" s="17">
        <v>364.59999999999997</v>
      </c>
      <c r="BP58" s="17">
        <v>389.2</v>
      </c>
      <c r="BQ58" s="17">
        <v>391.70000000000005</v>
      </c>
      <c r="BR58" s="17">
        <v>397.5</v>
      </c>
      <c r="BS58" s="20">
        <v>397.5</v>
      </c>
      <c r="BT58" s="17">
        <f>209.3+28.5+153.7</f>
        <v>391.5</v>
      </c>
      <c r="BU58" s="17">
        <v>405.4</v>
      </c>
      <c r="BV58" s="17">
        <v>404.8</v>
      </c>
      <c r="BW58" s="17">
        <v>380.3</v>
      </c>
      <c r="BX58" s="20">
        <v>380.3</v>
      </c>
      <c r="BY58" s="17">
        <v>366.1</v>
      </c>
      <c r="BZ58" s="17">
        <v>345.6</v>
      </c>
      <c r="CA58" s="17">
        <v>362.7</v>
      </c>
      <c r="CB58" s="17">
        <v>348.8</v>
      </c>
      <c r="CC58" s="20">
        <v>348.8</v>
      </c>
      <c r="CD58" s="17">
        <v>349.5</v>
      </c>
      <c r="CE58" s="17">
        <v>336.5</v>
      </c>
      <c r="CF58" s="17">
        <v>313.10000000000002</v>
      </c>
      <c r="CG58" s="17">
        <v>207.8</v>
      </c>
      <c r="CH58" s="20">
        <v>207.8</v>
      </c>
      <c r="CI58" s="17">
        <v>205.6</v>
      </c>
      <c r="CJ58" s="17">
        <v>151.80000000000001</v>
      </c>
      <c r="CK58" s="17">
        <v>145.1</v>
      </c>
      <c r="CL58" s="17">
        <v>131.1</v>
      </c>
      <c r="CM58" s="20">
        <v>131.1</v>
      </c>
      <c r="CN58" s="17">
        <v>136.5</v>
      </c>
      <c r="CO58" s="17">
        <v>142.19999999999999</v>
      </c>
      <c r="CP58" s="17">
        <v>142.69999999999999</v>
      </c>
      <c r="CQ58" s="17">
        <v>135.9</v>
      </c>
      <c r="CR58" s="20">
        <v>135.9</v>
      </c>
    </row>
    <row r="59" spans="1:96" x14ac:dyDescent="0.2">
      <c r="A59" s="1" t="s">
        <v>135</v>
      </c>
      <c r="B59" s="26"/>
      <c r="C59" s="26"/>
      <c r="D59" s="26"/>
      <c r="E59" s="26"/>
      <c r="F59" s="21">
        <f>1634.6</f>
        <v>1634.6</v>
      </c>
      <c r="G59" s="26">
        <f>2087.2-503</f>
        <v>1584.1999999999998</v>
      </c>
      <c r="H59" s="26">
        <f>2080.6-499</f>
        <v>1581.6</v>
      </c>
      <c r="I59" s="26">
        <f>1899.5-91.1</f>
        <v>1808.4</v>
      </c>
      <c r="J59" s="26">
        <v>1599.2</v>
      </c>
      <c r="K59" s="21">
        <v>1599.2</v>
      </c>
      <c r="L59" s="26">
        <v>1571.5</v>
      </c>
      <c r="M59" s="26">
        <v>1613.7</v>
      </c>
      <c r="N59" s="26">
        <v>1572.2</v>
      </c>
      <c r="O59" s="26">
        <v>1535.1</v>
      </c>
      <c r="P59" s="21">
        <v>1535.1</v>
      </c>
      <c r="Q59" s="26">
        <v>1499</v>
      </c>
      <c r="R59" s="26">
        <v>1447.3</v>
      </c>
      <c r="S59" s="26">
        <v>1490.7</v>
      </c>
      <c r="T59" s="26">
        <v>1524.4</v>
      </c>
      <c r="U59" s="21">
        <v>1524.2</v>
      </c>
      <c r="V59" s="26">
        <v>1457.8</v>
      </c>
      <c r="W59" s="26">
        <v>1454.7</v>
      </c>
      <c r="X59" s="26">
        <v>1338.1</v>
      </c>
      <c r="Y59" s="26">
        <v>1307.7</v>
      </c>
      <c r="Z59" s="21">
        <v>1307.7</v>
      </c>
      <c r="AA59" s="26">
        <v>1343.2</v>
      </c>
      <c r="AB59" s="26">
        <v>1347</v>
      </c>
      <c r="AC59" s="26">
        <v>1400.8</v>
      </c>
      <c r="AD59" s="26">
        <v>1442.2</v>
      </c>
      <c r="AE59" s="21">
        <v>1442.2</v>
      </c>
      <c r="AF59" s="26">
        <v>1439.9</v>
      </c>
      <c r="AG59" s="26">
        <v>1433.7</v>
      </c>
      <c r="AH59" s="26">
        <v>1463.7</v>
      </c>
      <c r="AI59" s="26">
        <v>1399.2</v>
      </c>
      <c r="AJ59" s="21">
        <v>1399.2</v>
      </c>
      <c r="AK59" s="26">
        <v>1370.9</v>
      </c>
      <c r="AL59" s="26">
        <v>1262.4000000000001</v>
      </c>
      <c r="AM59" s="26">
        <v>1228.5999999999999</v>
      </c>
      <c r="AN59" s="26">
        <v>1154.9000000000001</v>
      </c>
      <c r="AO59" s="21">
        <v>1154.9000000000001</v>
      </c>
      <c r="AP59" s="26"/>
      <c r="AQ59" s="26"/>
      <c r="AR59" s="26"/>
      <c r="AS59" s="26"/>
      <c r="AT59" s="21">
        <v>1106.4000000000001</v>
      </c>
      <c r="AU59" s="26"/>
      <c r="AV59" s="26"/>
      <c r="AW59" s="26"/>
      <c r="AX59" s="26"/>
      <c r="AY59" s="21">
        <v>1111.3</v>
      </c>
      <c r="AZ59" s="26"/>
      <c r="BA59" s="26"/>
      <c r="BB59" s="26"/>
      <c r="BC59" s="26"/>
      <c r="BD59" s="21">
        <v>1222.4000000000001</v>
      </c>
      <c r="BE59" s="26"/>
      <c r="BF59" s="26"/>
      <c r="BG59" s="26"/>
      <c r="BH59" s="26"/>
      <c r="BI59" s="21">
        <v>1206.8</v>
      </c>
      <c r="BJ59" s="26">
        <v>1245.4000000000001</v>
      </c>
      <c r="BK59" s="26">
        <v>1281.9000000000001</v>
      </c>
      <c r="BL59" s="26">
        <v>1294.2</v>
      </c>
      <c r="BM59" s="26">
        <v>1341.9</v>
      </c>
      <c r="BN59" s="21">
        <v>1341.9</v>
      </c>
      <c r="BO59" s="26">
        <v>1266.4000000000001</v>
      </c>
      <c r="BP59" s="26">
        <v>1242.4000000000001</v>
      </c>
      <c r="BQ59" s="26">
        <v>1330</v>
      </c>
      <c r="BR59" s="26">
        <v>1425.1</v>
      </c>
      <c r="BS59" s="21">
        <v>1425.1</v>
      </c>
      <c r="BT59" s="26">
        <v>1455.7</v>
      </c>
      <c r="BU59" s="26">
        <v>1536</v>
      </c>
      <c r="BV59" s="26">
        <v>1577.6</v>
      </c>
      <c r="BW59" s="26">
        <v>1648.6</v>
      </c>
      <c r="BX59" s="21">
        <v>1648.6</v>
      </c>
      <c r="BY59" s="26">
        <v>1671.4</v>
      </c>
      <c r="BZ59" s="26">
        <v>1614.6</v>
      </c>
      <c r="CA59" s="26">
        <v>1562.8</v>
      </c>
      <c r="CB59" s="26">
        <v>1641.4</v>
      </c>
      <c r="CC59" s="21">
        <v>1641.4</v>
      </c>
      <c r="CD59" s="26">
        <v>1667.1</v>
      </c>
      <c r="CE59" s="26">
        <v>1668.6</v>
      </c>
      <c r="CF59" s="26">
        <v>1635.9</v>
      </c>
      <c r="CG59" s="26">
        <v>1334</v>
      </c>
      <c r="CH59" s="21">
        <v>1334</v>
      </c>
      <c r="CI59" s="26">
        <v>1289.5</v>
      </c>
      <c r="CJ59" s="26">
        <v>668.3</v>
      </c>
      <c r="CK59" s="26">
        <v>741.8</v>
      </c>
      <c r="CL59" s="26">
        <v>690.2</v>
      </c>
      <c r="CM59" s="21">
        <v>690.2</v>
      </c>
      <c r="CN59" s="26">
        <v>747.6</v>
      </c>
      <c r="CO59" s="26">
        <v>855.8</v>
      </c>
      <c r="CP59" s="26">
        <v>972.4</v>
      </c>
      <c r="CQ59" s="26">
        <v>1022.6</v>
      </c>
      <c r="CR59" s="21">
        <v>1022.6</v>
      </c>
    </row>
    <row r="60" spans="1:96" x14ac:dyDescent="0.2">
      <c r="A60" s="6" t="s">
        <v>136</v>
      </c>
      <c r="B60" s="18"/>
      <c r="C60" s="18"/>
      <c r="D60" s="18"/>
      <c r="E60" s="18"/>
      <c r="F60" s="22">
        <f t="shared" ref="F60:K60" si="240">SUM(F56:F59)</f>
        <v>2773.8</v>
      </c>
      <c r="G60" s="18">
        <f t="shared" si="240"/>
        <v>2826.8999999999996</v>
      </c>
      <c r="H60" s="18">
        <f t="shared" si="240"/>
        <v>2973.9</v>
      </c>
      <c r="I60" s="18">
        <f t="shared" si="240"/>
        <v>2953.5</v>
      </c>
      <c r="J60" s="18">
        <f t="shared" si="240"/>
        <v>2583.9</v>
      </c>
      <c r="K60" s="22">
        <f t="shared" si="240"/>
        <v>2583.9</v>
      </c>
      <c r="L60" s="18">
        <f t="shared" ref="L60:AO60" si="241">SUM(L56:L59)</f>
        <v>2482</v>
      </c>
      <c r="M60" s="18">
        <f t="shared" si="241"/>
        <v>2515</v>
      </c>
      <c r="N60" s="18">
        <f t="shared" si="241"/>
        <v>2499.6</v>
      </c>
      <c r="O60" s="18">
        <f t="shared" si="241"/>
        <v>2485.6999999999998</v>
      </c>
      <c r="P60" s="22">
        <f t="shared" si="241"/>
        <v>2485.6999999999998</v>
      </c>
      <c r="Q60" s="18">
        <f t="shared" si="241"/>
        <v>2483.5</v>
      </c>
      <c r="R60" s="18">
        <f t="shared" si="241"/>
        <v>2466.6999999999998</v>
      </c>
      <c r="S60" s="18">
        <f t="shared" si="241"/>
        <v>2504.6</v>
      </c>
      <c r="T60" s="18">
        <f t="shared" si="241"/>
        <v>2478</v>
      </c>
      <c r="U60" s="22">
        <f t="shared" si="241"/>
        <v>2477.8000000000002</v>
      </c>
      <c r="V60" s="18">
        <f t="shared" si="241"/>
        <v>2481.1999999999998</v>
      </c>
      <c r="W60" s="18">
        <f t="shared" si="241"/>
        <v>2516.9</v>
      </c>
      <c r="X60" s="18">
        <f t="shared" si="241"/>
        <v>2418.3000000000002</v>
      </c>
      <c r="Y60" s="18">
        <f t="shared" si="241"/>
        <v>2329.1</v>
      </c>
      <c r="Z60" s="22">
        <f t="shared" si="241"/>
        <v>2329.1</v>
      </c>
      <c r="AA60" s="18">
        <f t="shared" si="241"/>
        <v>2586.6</v>
      </c>
      <c r="AB60" s="18">
        <f t="shared" si="241"/>
        <v>2359.3000000000002</v>
      </c>
      <c r="AC60" s="18">
        <f t="shared" si="241"/>
        <v>2450.1999999999998</v>
      </c>
      <c r="AD60" s="18">
        <f t="shared" si="241"/>
        <v>2523.9</v>
      </c>
      <c r="AE60" s="22">
        <f t="shared" si="241"/>
        <v>2523.9</v>
      </c>
      <c r="AF60" s="18">
        <f t="shared" si="241"/>
        <v>2635.3</v>
      </c>
      <c r="AG60" s="18">
        <f t="shared" si="241"/>
        <v>2648</v>
      </c>
      <c r="AH60" s="18">
        <f t="shared" si="241"/>
        <v>2666.3</v>
      </c>
      <c r="AI60" s="18">
        <f t="shared" si="241"/>
        <v>2278.6</v>
      </c>
      <c r="AJ60" s="22">
        <f t="shared" si="241"/>
        <v>2278.6</v>
      </c>
      <c r="AK60" s="18">
        <f t="shared" si="241"/>
        <v>2387.5</v>
      </c>
      <c r="AL60" s="18">
        <f t="shared" si="241"/>
        <v>2378.6000000000004</v>
      </c>
      <c r="AM60" s="18">
        <f t="shared" si="241"/>
        <v>2040.3</v>
      </c>
      <c r="AN60" s="18">
        <f t="shared" si="241"/>
        <v>2148.4</v>
      </c>
      <c r="AO60" s="22">
        <f t="shared" si="241"/>
        <v>2148.4</v>
      </c>
      <c r="AP60" s="18"/>
      <c r="AQ60" s="18"/>
      <c r="AR60" s="18"/>
      <c r="AS60" s="18"/>
      <c r="AT60" s="22">
        <f>SUM(AT56:AT59)</f>
        <v>2276.6000000000004</v>
      </c>
      <c r="AU60" s="18"/>
      <c r="AV60" s="18"/>
      <c r="AW60" s="18"/>
      <c r="AX60" s="18"/>
      <c r="AY60" s="22">
        <f t="shared" ref="AY60" si="242">SUM(AY56:AY59)</f>
        <v>2305.3000000000002</v>
      </c>
      <c r="AZ60" s="18"/>
      <c r="BA60" s="18"/>
      <c r="BB60" s="18"/>
      <c r="BC60" s="18"/>
      <c r="BD60" s="22">
        <f>SUM(BD56:BD59)</f>
        <v>2616.8000000000002</v>
      </c>
      <c r="BE60" s="52"/>
      <c r="BF60" s="18"/>
      <c r="BG60" s="18"/>
      <c r="BH60" s="18"/>
      <c r="BI60" s="22">
        <f t="shared" ref="BI60" si="243">SUM(BI56:BI59)</f>
        <v>2631.8999999999996</v>
      </c>
      <c r="BJ60" s="18">
        <f>SUM(BJ56:BJ59)</f>
        <v>4153.5</v>
      </c>
      <c r="BK60" s="18">
        <f t="shared" ref="BK60:BM60" si="244">SUM(BK56:BK59)</f>
        <v>4159</v>
      </c>
      <c r="BL60" s="18">
        <f t="shared" si="244"/>
        <v>3988.3</v>
      </c>
      <c r="BM60" s="18">
        <f t="shared" si="244"/>
        <v>3927.3</v>
      </c>
      <c r="BN60" s="22">
        <f>SUM(BN56:BN59)</f>
        <v>3927.3</v>
      </c>
      <c r="BO60" s="18">
        <f t="shared" ref="BO60:BW60" si="245">SUM(BO56:BO59)</f>
        <v>4164.1000000000004</v>
      </c>
      <c r="BP60" s="18">
        <f t="shared" si="245"/>
        <v>3843.3999999999996</v>
      </c>
      <c r="BQ60" s="18">
        <f t="shared" si="245"/>
        <v>3756.1</v>
      </c>
      <c r="BR60" s="18">
        <f t="shared" si="245"/>
        <v>3793.9999999999995</v>
      </c>
      <c r="BS60" s="22">
        <f t="shared" si="245"/>
        <v>3793.9999999999995</v>
      </c>
      <c r="BT60" s="18">
        <f t="shared" si="245"/>
        <v>3915.5</v>
      </c>
      <c r="BU60" s="18">
        <f t="shared" si="245"/>
        <v>4043</v>
      </c>
      <c r="BV60" s="18">
        <f t="shared" si="245"/>
        <v>3897.1</v>
      </c>
      <c r="BW60" s="18">
        <f t="shared" si="245"/>
        <v>3971.6</v>
      </c>
      <c r="BX60" s="22">
        <f t="shared" ref="BX60:BZ60" si="246">SUM(BX56:BX59)</f>
        <v>3971.6</v>
      </c>
      <c r="BY60" s="18">
        <f t="shared" si="246"/>
        <v>3990.6</v>
      </c>
      <c r="BZ60" s="18">
        <f t="shared" si="246"/>
        <v>3899.2</v>
      </c>
      <c r="CA60" s="18">
        <f>SUM(CA56:CA59)</f>
        <v>4210.2</v>
      </c>
      <c r="CB60" s="18">
        <f>SUM(CB56:CB59)</f>
        <v>4218</v>
      </c>
      <c r="CC60" s="22">
        <f>SUM(CC56:CC59)</f>
        <v>4218</v>
      </c>
      <c r="CD60" s="18">
        <f t="shared" ref="CD60:CM60" si="247">SUM(CD56:CD59)</f>
        <v>4301.3999999999996</v>
      </c>
      <c r="CE60" s="18">
        <f t="shared" si="247"/>
        <v>4188.7</v>
      </c>
      <c r="CF60" s="18">
        <f t="shared" si="247"/>
        <v>4068.5</v>
      </c>
      <c r="CG60" s="18">
        <f t="shared" si="247"/>
        <v>3371.8999999999996</v>
      </c>
      <c r="CH60" s="22">
        <f t="shared" si="247"/>
        <v>3371.8999999999996</v>
      </c>
      <c r="CI60" s="18">
        <f t="shared" si="247"/>
        <v>3426.5</v>
      </c>
      <c r="CJ60" s="18">
        <f t="shared" si="247"/>
        <v>2670.8999999999996</v>
      </c>
      <c r="CK60" s="18">
        <f t="shared" si="247"/>
        <v>2608.3999999999996</v>
      </c>
      <c r="CL60" s="18">
        <f t="shared" si="247"/>
        <v>2815.2</v>
      </c>
      <c r="CM60" s="22">
        <f t="shared" si="247"/>
        <v>2815.2</v>
      </c>
      <c r="CN60" s="18">
        <f t="shared" ref="CN60:CR60" si="248">SUM(CN56:CN59)</f>
        <v>2938.5</v>
      </c>
      <c r="CO60" s="18">
        <f t="shared" si="248"/>
        <v>2901.4</v>
      </c>
      <c r="CP60" s="18">
        <f t="shared" si="248"/>
        <v>2730.9</v>
      </c>
      <c r="CQ60" s="18">
        <f t="shared" si="248"/>
        <v>2761.4</v>
      </c>
      <c r="CR60" s="22">
        <f t="shared" si="248"/>
        <v>2761.4</v>
      </c>
    </row>
    <row r="61" spans="1:96" ht="12.75" thickBot="1" x14ac:dyDescent="0.25">
      <c r="A61" s="6" t="s">
        <v>137</v>
      </c>
      <c r="B61" s="18"/>
      <c r="C61" s="18"/>
      <c r="D61" s="18"/>
      <c r="E61" s="18"/>
      <c r="F61" s="27">
        <f t="shared" ref="F61:K61" si="249">+F55+F60</f>
        <v>3495.9</v>
      </c>
      <c r="G61" s="18">
        <f t="shared" si="249"/>
        <v>3526.0999999999995</v>
      </c>
      <c r="H61" s="18">
        <f t="shared" si="249"/>
        <v>3653.1000000000004</v>
      </c>
      <c r="I61" s="18">
        <f t="shared" si="249"/>
        <v>3623.7</v>
      </c>
      <c r="J61" s="18">
        <f t="shared" si="249"/>
        <v>3100.7000000000003</v>
      </c>
      <c r="K61" s="27">
        <f t="shared" si="249"/>
        <v>3100.7000000000003</v>
      </c>
      <c r="L61" s="18">
        <f t="shared" ref="L61:AO61" si="250">+L55+L60</f>
        <v>2965</v>
      </c>
      <c r="M61" s="18">
        <f t="shared" si="250"/>
        <v>3011.7</v>
      </c>
      <c r="N61" s="18">
        <f t="shared" si="250"/>
        <v>3034.7</v>
      </c>
      <c r="O61" s="18">
        <f t="shared" si="250"/>
        <v>3017.6</v>
      </c>
      <c r="P61" s="27">
        <f t="shared" si="250"/>
        <v>3017.6</v>
      </c>
      <c r="Q61" s="18">
        <f t="shared" si="250"/>
        <v>3046.6</v>
      </c>
      <c r="R61" s="18">
        <f t="shared" si="250"/>
        <v>3033.2999999999997</v>
      </c>
      <c r="S61" s="18">
        <f t="shared" si="250"/>
        <v>3054.6</v>
      </c>
      <c r="T61" s="18">
        <f t="shared" si="250"/>
        <v>3001</v>
      </c>
      <c r="U61" s="27">
        <f t="shared" si="250"/>
        <v>3000.8</v>
      </c>
      <c r="V61" s="18">
        <f t="shared" si="250"/>
        <v>3066.8999999999996</v>
      </c>
      <c r="W61" s="18">
        <f t="shared" si="250"/>
        <v>3094.7</v>
      </c>
      <c r="X61" s="18">
        <f t="shared" si="250"/>
        <v>3022.3</v>
      </c>
      <c r="Y61" s="18">
        <f t="shared" si="250"/>
        <v>2915.1</v>
      </c>
      <c r="Z61" s="27">
        <f t="shared" si="250"/>
        <v>2915.1</v>
      </c>
      <c r="AA61" s="18">
        <f t="shared" si="250"/>
        <v>3212.7</v>
      </c>
      <c r="AB61" s="18">
        <f t="shared" si="250"/>
        <v>3240.1000000000004</v>
      </c>
      <c r="AC61" s="18">
        <f t="shared" si="250"/>
        <v>3245.8999999999996</v>
      </c>
      <c r="AD61" s="18">
        <f t="shared" si="250"/>
        <v>3254.9</v>
      </c>
      <c r="AE61" s="27">
        <f t="shared" si="250"/>
        <v>3254.9</v>
      </c>
      <c r="AF61" s="18">
        <f t="shared" si="250"/>
        <v>3427.9</v>
      </c>
      <c r="AG61" s="18">
        <f t="shared" si="250"/>
        <v>3278.7</v>
      </c>
      <c r="AH61" s="18">
        <f t="shared" si="250"/>
        <v>3305.1000000000004</v>
      </c>
      <c r="AI61" s="18">
        <f t="shared" si="250"/>
        <v>3108.1</v>
      </c>
      <c r="AJ61" s="27">
        <f t="shared" si="250"/>
        <v>3108.1</v>
      </c>
      <c r="AK61" s="18">
        <f t="shared" si="250"/>
        <v>3221.5</v>
      </c>
      <c r="AL61" s="18">
        <f t="shared" si="250"/>
        <v>3243.4000000000005</v>
      </c>
      <c r="AM61" s="18">
        <f t="shared" si="250"/>
        <v>3184.7</v>
      </c>
      <c r="AN61" s="18">
        <f t="shared" si="250"/>
        <v>3140.6000000000004</v>
      </c>
      <c r="AO61" s="27">
        <f t="shared" si="250"/>
        <v>3140.6000000000004</v>
      </c>
      <c r="AP61" s="18"/>
      <c r="AQ61" s="18"/>
      <c r="AR61" s="18"/>
      <c r="AS61" s="18"/>
      <c r="AT61" s="27">
        <f>+AT55+AT60</f>
        <v>2977.8</v>
      </c>
      <c r="AU61" s="18"/>
      <c r="AV61" s="18"/>
      <c r="AW61" s="18"/>
      <c r="AX61" s="18"/>
      <c r="AY61" s="27">
        <f t="shared" ref="AY61" si="251">+AY55+AY60</f>
        <v>3011.8</v>
      </c>
      <c r="AZ61" s="18"/>
      <c r="BA61" s="18"/>
      <c r="BB61" s="18"/>
      <c r="BC61" s="18"/>
      <c r="BD61" s="27">
        <f>SUM(BD55,BD60)</f>
        <v>3593</v>
      </c>
      <c r="BE61" s="52"/>
      <c r="BF61" s="18"/>
      <c r="BG61" s="18"/>
      <c r="BH61" s="18"/>
      <c r="BI61" s="27">
        <f>+BI55+BI60</f>
        <v>3447.5999999999995</v>
      </c>
      <c r="BJ61" s="18">
        <f t="shared" ref="BJ61:BW61" si="252">+BJ55+BJ60</f>
        <v>5020.5</v>
      </c>
      <c r="BK61" s="18">
        <f t="shared" si="252"/>
        <v>5059.3</v>
      </c>
      <c r="BL61" s="18">
        <f t="shared" si="252"/>
        <v>4909.1000000000004</v>
      </c>
      <c r="BM61" s="18">
        <f t="shared" si="252"/>
        <v>4855.3999999999996</v>
      </c>
      <c r="BN61" s="27">
        <f t="shared" si="252"/>
        <v>4855.3999999999996</v>
      </c>
      <c r="BO61" s="18">
        <f t="shared" si="252"/>
        <v>5018.8</v>
      </c>
      <c r="BP61" s="18">
        <f t="shared" si="252"/>
        <v>4618.8999999999996</v>
      </c>
      <c r="BQ61" s="18">
        <f t="shared" si="252"/>
        <v>4703.5</v>
      </c>
      <c r="BR61" s="18">
        <f t="shared" si="252"/>
        <v>4800</v>
      </c>
      <c r="BS61" s="27">
        <f t="shared" si="252"/>
        <v>4800</v>
      </c>
      <c r="BT61" s="18">
        <f t="shared" si="252"/>
        <v>4911.1000000000004</v>
      </c>
      <c r="BU61" s="18">
        <f t="shared" si="252"/>
        <v>5150.1000000000004</v>
      </c>
      <c r="BV61" s="18">
        <f t="shared" si="252"/>
        <v>5235.1000000000004</v>
      </c>
      <c r="BW61" s="18">
        <f t="shared" si="252"/>
        <v>5307.3</v>
      </c>
      <c r="BX61" s="27">
        <f t="shared" ref="BX61:BZ61" si="253">+BX55+BX60</f>
        <v>5307.3</v>
      </c>
      <c r="BY61" s="18">
        <f t="shared" si="253"/>
        <v>5341.7999999999993</v>
      </c>
      <c r="BZ61" s="18">
        <f t="shared" si="253"/>
        <v>5230.5999999999995</v>
      </c>
      <c r="CA61" s="18">
        <f t="shared" ref="CA61:CB61" si="254">+CA55+CA60</f>
        <v>5175.2</v>
      </c>
      <c r="CB61" s="18">
        <f t="shared" si="254"/>
        <v>5186.1000000000004</v>
      </c>
      <c r="CC61" s="27">
        <f t="shared" ref="CC61:CM61" si="255">+CC55+CC60</f>
        <v>5186.1000000000004</v>
      </c>
      <c r="CD61" s="18">
        <f t="shared" si="255"/>
        <v>5270</v>
      </c>
      <c r="CE61" s="18">
        <f t="shared" si="255"/>
        <v>5144.2999999999993</v>
      </c>
      <c r="CF61" s="18">
        <f t="shared" si="255"/>
        <v>5077.6000000000004</v>
      </c>
      <c r="CG61" s="18">
        <f t="shared" si="255"/>
        <v>4634.5</v>
      </c>
      <c r="CH61" s="27">
        <f t="shared" si="255"/>
        <v>4634.5</v>
      </c>
      <c r="CI61" s="18">
        <f t="shared" si="255"/>
        <v>4614.8</v>
      </c>
      <c r="CJ61" s="18">
        <f t="shared" si="255"/>
        <v>3838.7999999999997</v>
      </c>
      <c r="CK61" s="18">
        <f t="shared" si="255"/>
        <v>3780.0999999999995</v>
      </c>
      <c r="CL61" s="18">
        <f t="shared" si="255"/>
        <v>3661.6</v>
      </c>
      <c r="CM61" s="27">
        <f t="shared" si="255"/>
        <v>3661.6</v>
      </c>
      <c r="CN61" s="18">
        <f t="shared" ref="CN61:CR61" si="256">+CN55+CN60</f>
        <v>3748.9</v>
      </c>
      <c r="CO61" s="18">
        <f t="shared" si="256"/>
        <v>3703.7</v>
      </c>
      <c r="CP61" s="18">
        <f t="shared" si="256"/>
        <v>3525</v>
      </c>
      <c r="CQ61" s="18">
        <f t="shared" si="256"/>
        <v>3536.4</v>
      </c>
      <c r="CR61" s="27">
        <f t="shared" si="256"/>
        <v>3536.4</v>
      </c>
    </row>
    <row r="62" spans="1:96" ht="6" customHeight="1" x14ac:dyDescent="0.2">
      <c r="L62" s="17"/>
      <c r="M62" s="17"/>
      <c r="N62" s="17"/>
    </row>
    <row r="63" spans="1:96" ht="14.1" customHeight="1" x14ac:dyDescent="0.2">
      <c r="B63" s="47"/>
      <c r="L63" s="17"/>
      <c r="M63" s="17"/>
      <c r="N63" s="17"/>
    </row>
    <row r="64" spans="1:96" ht="17.25" x14ac:dyDescent="0.2">
      <c r="B64" s="50" t="s">
        <v>189</v>
      </c>
      <c r="V64" s="46" t="s">
        <v>190</v>
      </c>
      <c r="AA64" s="46"/>
      <c r="AP64" s="48" t="s">
        <v>191</v>
      </c>
    </row>
    <row r="65" spans="2:42" ht="15" hidden="1" x14ac:dyDescent="0.2">
      <c r="B65" s="50" t="s">
        <v>192</v>
      </c>
      <c r="C65" s="50"/>
      <c r="D65" s="50"/>
      <c r="E65" s="50"/>
      <c r="F65" s="50"/>
      <c r="G65" s="55"/>
      <c r="AP65" s="105" t="s">
        <v>140</v>
      </c>
    </row>
  </sheetData>
  <dataConsolidate/>
  <phoneticPr fontId="0" type="noConversion"/>
  <pageMargins left="0.5" right="0.5" top="0.75" bottom="0.75" header="0.3" footer="0.3"/>
  <pageSetup scale="65" fitToWidth="0" orientation="landscape" r:id="rId1"/>
  <headerFooter alignWithMargins="0"/>
  <colBreaks count="4" manualBreakCount="4">
    <brk id="21" max="64" man="1"/>
    <brk id="41" max="1048575" man="1"/>
    <brk id="61" max="1048575" man="1"/>
    <brk id="81" max="64" man="1"/>
  </colBreaks>
  <ignoredErrors>
    <ignoredError sqref="BU3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789ac22f-bdf3-4910-a920-c68c1243d4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5E1B22DB754A4FB95E693AACBF0552" ma:contentTypeVersion="13" ma:contentTypeDescription="Create a new document." ma:contentTypeScope="" ma:versionID="537be953d3592bdd339d1a39d58a777e">
  <xsd:schema xmlns:xsd="http://www.w3.org/2001/XMLSchema" xmlns:xs="http://www.w3.org/2001/XMLSchema" xmlns:p="http://schemas.microsoft.com/office/2006/metadata/properties" xmlns:ns2="789ac22f-bdf3-4910-a920-c68c1243d4c6" xmlns:ns3="440cd060-9f12-415d-ac22-a3d0bcae5648" targetNamespace="http://schemas.microsoft.com/office/2006/metadata/properties" ma:root="true" ma:fieldsID="2c77d4422a313288210895095ec2662b" ns2:_="" ns3:_="">
    <xsd:import namespace="789ac22f-bdf3-4910-a920-c68c1243d4c6"/>
    <xsd:import namespace="440cd060-9f12-415d-ac22-a3d0bcae5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ac22f-bdf3-4910-a920-c68c1243d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cd060-9f12-415d-ac22-a3d0bcae5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9BB7AA-CBF7-49F3-B351-4FFC648131DE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40cd060-9f12-415d-ac22-a3d0bcae5648"/>
    <ds:schemaRef ds:uri="789ac22f-bdf3-4910-a920-c68c1243d4c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17BB0D-DFBC-4AF7-B5D3-C9BC4AF58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3F5D3-6988-4FC6-A2FD-FFD96CF92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ac22f-bdf3-4910-a920-c68c1243d4c6"/>
    <ds:schemaRef ds:uri="440cd060-9f12-415d-ac22-a3d0bcae5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eeb91-d2b7-410c-a142-739340bc5b89}" enabled="1" method="Standard" siteId="{ee75c49c-c1cb-49e2-b55d-6b0f8e02208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Quarterly Data</vt:lpstr>
      <vt:lpstr>Adjusted Continuing Ops</vt:lpstr>
      <vt:lpstr>'Adjusted Continuing Ops'!Print_Area</vt:lpstr>
      <vt:lpstr>'Quarterly Data'!Print_Area</vt:lpstr>
      <vt:lpstr>'Adjusted Continuing Ops'!Print_Titles</vt:lpstr>
      <vt:lpstr>'Quarterly Data'!Print_Titles</vt:lpstr>
    </vt:vector>
  </TitlesOfParts>
  <Manager/>
  <Company>Leggett &amp; Platt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DeSonier</dc:creator>
  <cp:keywords/>
  <dc:description/>
  <cp:lastModifiedBy>Katelyn Pierce</cp:lastModifiedBy>
  <cp:revision/>
  <dcterms:created xsi:type="dcterms:W3CDTF">2000-09-01T19:15:19Z</dcterms:created>
  <dcterms:modified xsi:type="dcterms:W3CDTF">2026-02-19T20:51:39Z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{EBE47F3E-C399-46FB-90CF-797B1402B5F4}</vt:lpwstr>
  </property>
  <property fmtid="{D5CDD505-2E9C-101B-9397-08002B2CF9AE}" pid="5" name="MSIP_Label_f60eeb91-d2b7-410c-a142-739340bc5b89_Enabled">
    <vt:lpwstr>true</vt:lpwstr>
  </property>
  <property fmtid="{D5CDD505-2E9C-101B-9397-08002B2CF9AE}" pid="6" name="MSIP_Label_f60eeb91-d2b7-410c-a142-739340bc5b89_SetDate">
    <vt:lpwstr>2023-07-28T20:38:14Z</vt:lpwstr>
  </property>
  <property fmtid="{D5CDD505-2E9C-101B-9397-08002B2CF9AE}" pid="7" name="MSIP_Label_f60eeb91-d2b7-410c-a142-739340bc5b89_Method">
    <vt:lpwstr>Standard</vt:lpwstr>
  </property>
  <property fmtid="{D5CDD505-2E9C-101B-9397-08002B2CF9AE}" pid="8" name="MSIP_Label_f60eeb91-d2b7-410c-a142-739340bc5b89_Name">
    <vt:lpwstr>Public</vt:lpwstr>
  </property>
  <property fmtid="{D5CDD505-2E9C-101B-9397-08002B2CF9AE}" pid="9" name="MSIP_Label_f60eeb91-d2b7-410c-a142-739340bc5b89_SiteId">
    <vt:lpwstr>ee75c49c-c1cb-49e2-b55d-6b0f8e02208a</vt:lpwstr>
  </property>
  <property fmtid="{D5CDD505-2E9C-101B-9397-08002B2CF9AE}" pid="10" name="MSIP_Label_f60eeb91-d2b7-410c-a142-739340bc5b89_ActionId">
    <vt:lpwstr>03a9ecc0-a7d5-4bc7-89ee-f0fc3e507fa5</vt:lpwstr>
  </property>
  <property fmtid="{D5CDD505-2E9C-101B-9397-08002B2CF9AE}" pid="11" name="MSIP_Label_f60eeb91-d2b7-410c-a142-739340bc5b89_ContentBits">
    <vt:lpwstr>0</vt:lpwstr>
  </property>
  <property fmtid="{D5CDD505-2E9C-101B-9397-08002B2CF9AE}" pid="12" name="ContentTypeId">
    <vt:lpwstr>0x010100ED5E1B22DB754A4FB95E693AACBF0552</vt:lpwstr>
  </property>
</Properties>
</file>